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0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1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2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3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4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5.xml" ContentType="application/vnd.openxmlformats-officedocument.drawingml.chartshape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6.xml" ContentType="application/vnd.openxmlformats-officedocument.drawingml.chartshape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7.xml" ContentType="application/vnd.openxmlformats-officedocument.drawingml.chartshape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8.xml" ContentType="application/vnd.openxmlformats-officedocument.drawingml.chartshapes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9.xml" ContentType="application/vnd.openxmlformats-officedocument.drawingml.chartshape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0.xml" ContentType="application/vnd.openxmlformats-officedocument.drawingml.chartshapes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1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/>
  <mc:AlternateContent xmlns:mc="http://schemas.openxmlformats.org/markup-compatibility/2006">
    <mc:Choice Requires="x15">
      <x15ac:absPath xmlns:x15ac="http://schemas.microsoft.com/office/spreadsheetml/2010/11/ac" url="C:\Users\Tatac\Desktop\Analisis financiero\ModeloAF\excel\"/>
    </mc:Choice>
  </mc:AlternateContent>
  <xr:revisionPtr revIDLastSave="0" documentId="13_ncr:1_{9C2BF4FC-031A-44EC-AF3A-578C73188767}" xr6:coauthVersionLast="47" xr6:coauthVersionMax="47" xr10:uidLastSave="{00000000-0000-0000-0000-000000000000}"/>
  <bookViews>
    <workbookView xWindow="-120" yWindow="-120" windowWidth="20730" windowHeight="11160" tabRatio="781" xr2:uid="{00000000-000D-0000-FFFF-FFFF00000000}"/>
  </bookViews>
  <sheets>
    <sheet name="Dashboard" sheetId="1" r:id="rId1"/>
    <sheet name="Data" sheetId="11" r:id="rId2"/>
    <sheet name="Flujo de Caja" sheetId="9" r:id="rId3"/>
    <sheet name="Resumen Ejecutivo" sheetId="12" r:id="rId4"/>
    <sheet name="EIR" sheetId="4" r:id="rId5"/>
    <sheet name="ESF" sheetId="5" r:id="rId6"/>
    <sheet name="EIR Comparativo" sheetId="6" r:id="rId7"/>
    <sheet name="ESF Comparativo" sheetId="7" r:id="rId8"/>
    <sheet name="Gráficas" sheetId="8" r:id="rId9"/>
  </sheets>
  <externalReferences>
    <externalReference r:id="rId10"/>
  </externalReferences>
  <definedNames>
    <definedName name="_xlnm.Print_Area" localSheetId="0">Dashboard!$A$1:$N$30</definedName>
    <definedName name="_xlnm.Print_Area" localSheetId="1">Data!$B$1:$R$70</definedName>
    <definedName name="_xlnm.Print_Area" localSheetId="4">EIR!$A$1:$K$27</definedName>
    <definedName name="_xlnm.Print_Area" localSheetId="6">'EIR Comparativo'!$A$1:$V$27</definedName>
    <definedName name="_xlnm.Print_Area" localSheetId="5">ESF!$B$1:$J$43</definedName>
    <definedName name="_xlnm.Print_Area" localSheetId="7">'ESF Comparativo'!$A$1:$V$44</definedName>
    <definedName name="_xlnm.Print_Area" localSheetId="2">'Flujo de Caja'!$A$1:$J$37</definedName>
    <definedName name="_xlnm.Print_Area" localSheetId="8">Gráficas!$A$1:$AI$120</definedName>
    <definedName name="_xlnm.Print_Area" localSheetId="3">'Resumen Ejecutivo'!$A$1:$J$91</definedName>
    <definedName name="COP">[1]Data!$C$72</definedName>
    <definedName name="COPM">[1]Data!$C$73</definedName>
    <definedName name="COPMM">[1]Data!$C$74</definedName>
    <definedName name="MonedaOriginal">[1]Data!$C$4</definedName>
    <definedName name="MonedaReporte">[1]Data!$K$4</definedName>
    <definedName name="Ordenador">[1]Data!$D$72</definedName>
    <definedName name="Tasa00">[1]Data!$L$5</definedName>
    <definedName name="Tasa01">[1]Data!$M$5</definedName>
    <definedName name="Tasa02">[1]Data!$N$5</definedName>
    <definedName name="Tasa03">[1]Data!$O$5</definedName>
    <definedName name="Tasa04">[1]Data!$P$5</definedName>
    <definedName name="Tasa05">[1]Data!$Q$5</definedName>
    <definedName name="Tasa06">[1]Data!$R$5</definedName>
    <definedName name="USD">[1]Data!$C$75</definedName>
    <definedName name="USDM">[1]Data!$C$76</definedName>
    <definedName name="USDMM">[1]Data!$C$77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61" i="11" l="1"/>
  <c r="J60" i="11"/>
  <c r="F61" i="11" l="1"/>
  <c r="F60" i="11"/>
  <c r="E60" i="11" l="1"/>
  <c r="D60" i="11"/>
  <c r="E61" i="11"/>
  <c r="D61" i="11"/>
  <c r="E35" i="11" l="1"/>
  <c r="D35" i="11"/>
  <c r="F53" i="11" l="1"/>
  <c r="F50" i="11"/>
  <c r="F45" i="11"/>
  <c r="E53" i="11"/>
  <c r="E50" i="11"/>
  <c r="D53" i="11"/>
  <c r="D50" i="11"/>
  <c r="C4" i="9" l="1"/>
  <c r="F41" i="11" l="1"/>
  <c r="F40" i="11"/>
  <c r="F38" i="11"/>
  <c r="F37" i="11"/>
  <c r="F35" i="11"/>
  <c r="E38" i="11"/>
  <c r="E37" i="11"/>
  <c r="D38" i="11"/>
  <c r="D37" i="11"/>
  <c r="L34" i="11" l="1"/>
  <c r="L32" i="11"/>
  <c r="L33" i="11"/>
  <c r="C4" i="12" l="1"/>
  <c r="J63" i="11" l="1"/>
  <c r="F63" i="11"/>
  <c r="E63" i="11"/>
  <c r="D63" i="11"/>
  <c r="J54" i="11"/>
  <c r="I54" i="11"/>
  <c r="H54" i="11"/>
  <c r="G54" i="11"/>
  <c r="F54" i="11"/>
  <c r="E54" i="11"/>
  <c r="J51" i="11"/>
  <c r="I51" i="11"/>
  <c r="H51" i="11"/>
  <c r="H55" i="11" s="1"/>
  <c r="G51" i="11"/>
  <c r="F51" i="11"/>
  <c r="E51" i="11"/>
  <c r="J36" i="11"/>
  <c r="J42" i="11" s="1"/>
  <c r="I36" i="11"/>
  <c r="I42" i="11" s="1"/>
  <c r="H36" i="11"/>
  <c r="H42" i="11" s="1"/>
  <c r="G36" i="11"/>
  <c r="G42" i="11" s="1"/>
  <c r="F36" i="11"/>
  <c r="F42" i="11" s="1"/>
  <c r="E36" i="11"/>
  <c r="E42" i="11" s="1"/>
  <c r="D36" i="11"/>
  <c r="L36" i="11" s="1"/>
  <c r="D54" i="11"/>
  <c r="D51" i="11"/>
  <c r="J55" i="11" l="1"/>
  <c r="J65" i="11"/>
  <c r="F55" i="11"/>
  <c r="F65" i="11" s="1"/>
  <c r="E55" i="11"/>
  <c r="E65" i="11" s="1"/>
  <c r="D55" i="11"/>
  <c r="D65" i="11" s="1"/>
  <c r="L51" i="11"/>
  <c r="D44" i="12" s="1"/>
  <c r="I55" i="11"/>
  <c r="I65" i="11" s="1"/>
  <c r="H65" i="11"/>
  <c r="G55" i="11"/>
  <c r="G65" i="11" s="1"/>
  <c r="D42" i="11"/>
  <c r="J13" i="12"/>
  <c r="I13" i="12"/>
  <c r="H13" i="12"/>
  <c r="G13" i="12"/>
  <c r="F13" i="12"/>
  <c r="E13" i="12"/>
  <c r="D13" i="12"/>
  <c r="J11" i="11"/>
  <c r="J13" i="11" s="1"/>
  <c r="J15" i="11" s="1"/>
  <c r="J17" i="11" s="1"/>
  <c r="J24" i="11" s="1"/>
  <c r="J26" i="11" s="1"/>
  <c r="E11" i="11"/>
  <c r="D11" i="11"/>
  <c r="C4" i="7"/>
  <c r="D46" i="12" l="1"/>
  <c r="D47" i="12"/>
  <c r="D45" i="12"/>
  <c r="C4" i="6"/>
  <c r="C4" i="5"/>
  <c r="C4" i="4"/>
  <c r="Q70" i="11" l="1"/>
  <c r="P70" i="11"/>
  <c r="O70" i="11"/>
  <c r="N70" i="11"/>
  <c r="M70" i="11"/>
  <c r="R69" i="11"/>
  <c r="J79" i="12" s="1"/>
  <c r="J80" i="12" s="1"/>
  <c r="Q69" i="11"/>
  <c r="I79" i="12" s="1"/>
  <c r="P69" i="11"/>
  <c r="H79" i="12" s="1"/>
  <c r="H80" i="12" s="1"/>
  <c r="O69" i="11"/>
  <c r="G79" i="12" s="1"/>
  <c r="N69" i="11"/>
  <c r="F79" i="12" s="1"/>
  <c r="F80" i="12" s="1"/>
  <c r="M69" i="11"/>
  <c r="E79" i="12" s="1"/>
  <c r="R68" i="11"/>
  <c r="Q68" i="11"/>
  <c r="P68" i="11"/>
  <c r="O68" i="11"/>
  <c r="N68" i="11"/>
  <c r="M68" i="11"/>
  <c r="R65" i="11"/>
  <c r="Q65" i="11"/>
  <c r="P65" i="11"/>
  <c r="O65" i="11"/>
  <c r="N65" i="11"/>
  <c r="M65" i="11"/>
  <c r="E43" i="5" s="1"/>
  <c r="L65" i="11"/>
  <c r="R63" i="11"/>
  <c r="Q63" i="11"/>
  <c r="P63" i="11"/>
  <c r="O63" i="11"/>
  <c r="N63" i="11"/>
  <c r="M63" i="11"/>
  <c r="L63" i="11"/>
  <c r="R62" i="11"/>
  <c r="Q62" i="11"/>
  <c r="P62" i="11"/>
  <c r="O62" i="11"/>
  <c r="N62" i="11"/>
  <c r="M62" i="11"/>
  <c r="E40" i="5" s="1"/>
  <c r="L62" i="11"/>
  <c r="R61" i="11"/>
  <c r="J39" i="5" s="1"/>
  <c r="Q61" i="11"/>
  <c r="P61" i="11"/>
  <c r="O61" i="11"/>
  <c r="N61" i="11"/>
  <c r="F39" i="5" s="1"/>
  <c r="M61" i="11"/>
  <c r="L61" i="11"/>
  <c r="R60" i="11"/>
  <c r="J38" i="5" s="1"/>
  <c r="Q60" i="11"/>
  <c r="P60" i="11"/>
  <c r="O60" i="11"/>
  <c r="N60" i="11"/>
  <c r="F38" i="5" s="1"/>
  <c r="M60" i="11"/>
  <c r="L60" i="11"/>
  <c r="R59" i="11"/>
  <c r="J37" i="5" s="1"/>
  <c r="Q59" i="11"/>
  <c r="P59" i="11"/>
  <c r="O59" i="11"/>
  <c r="N59" i="11"/>
  <c r="F37" i="5" s="1"/>
  <c r="M59" i="11"/>
  <c r="L59" i="11"/>
  <c r="R58" i="11"/>
  <c r="J36" i="5" s="1"/>
  <c r="Q58" i="11"/>
  <c r="P58" i="11"/>
  <c r="O58" i="11"/>
  <c r="N58" i="11"/>
  <c r="F36" i="5" s="1"/>
  <c r="M58" i="11"/>
  <c r="L58" i="11"/>
  <c r="R55" i="11"/>
  <c r="Q55" i="11"/>
  <c r="I76" i="12" s="1"/>
  <c r="P55" i="11"/>
  <c r="H76" i="12" s="1"/>
  <c r="O55" i="11"/>
  <c r="G76" i="12" s="1"/>
  <c r="N55" i="11"/>
  <c r="M55" i="11"/>
  <c r="E76" i="12" s="1"/>
  <c r="L55" i="11"/>
  <c r="D76" i="12" s="1"/>
  <c r="R54" i="11"/>
  <c r="J32" i="5" s="1"/>
  <c r="Q54" i="11"/>
  <c r="P54" i="11"/>
  <c r="O54" i="11"/>
  <c r="N54" i="11"/>
  <c r="F32" i="5" s="1"/>
  <c r="M54" i="11"/>
  <c r="L54" i="11"/>
  <c r="R53" i="11"/>
  <c r="J31" i="5" s="1"/>
  <c r="Q53" i="11"/>
  <c r="P53" i="11"/>
  <c r="O53" i="11"/>
  <c r="N53" i="11"/>
  <c r="F31" i="5" s="1"/>
  <c r="M53" i="11"/>
  <c r="L53" i="11"/>
  <c r="R52" i="11"/>
  <c r="J30" i="5" s="1"/>
  <c r="Q52" i="11"/>
  <c r="P52" i="11"/>
  <c r="O52" i="11"/>
  <c r="N52" i="11"/>
  <c r="F30" i="5" s="1"/>
  <c r="M52" i="11"/>
  <c r="L52" i="11"/>
  <c r="R51" i="11"/>
  <c r="Q51" i="11"/>
  <c r="P51" i="11"/>
  <c r="O51" i="11"/>
  <c r="N51" i="11"/>
  <c r="M51" i="11"/>
  <c r="D29" i="5"/>
  <c r="R50" i="11"/>
  <c r="J28" i="5" s="1"/>
  <c r="Q50" i="11"/>
  <c r="P50" i="11"/>
  <c r="O50" i="11"/>
  <c r="N50" i="11"/>
  <c r="F28" i="5" s="1"/>
  <c r="M50" i="11"/>
  <c r="L50" i="11"/>
  <c r="R49" i="11"/>
  <c r="J27" i="5" s="1"/>
  <c r="Q49" i="11"/>
  <c r="P49" i="11"/>
  <c r="O49" i="11"/>
  <c r="N49" i="11"/>
  <c r="M49" i="11"/>
  <c r="L49" i="11"/>
  <c r="R48" i="11"/>
  <c r="J26" i="5" s="1"/>
  <c r="Q48" i="11"/>
  <c r="P48" i="11"/>
  <c r="O48" i="11"/>
  <c r="N48" i="11"/>
  <c r="F26" i="5" s="1"/>
  <c r="M48" i="11"/>
  <c r="L48" i="11"/>
  <c r="R47" i="11"/>
  <c r="Q47" i="11"/>
  <c r="H17" i="9" s="1"/>
  <c r="P47" i="11"/>
  <c r="G17" i="9" s="1"/>
  <c r="O47" i="11"/>
  <c r="F17" i="9" s="1"/>
  <c r="N47" i="11"/>
  <c r="M47" i="11"/>
  <c r="D17" i="9" s="1"/>
  <c r="L47" i="11"/>
  <c r="R46" i="11"/>
  <c r="Q46" i="11"/>
  <c r="I66" i="12" s="1"/>
  <c r="P46" i="11"/>
  <c r="O46" i="11"/>
  <c r="G66" i="12" s="1"/>
  <c r="N46" i="11"/>
  <c r="F24" i="5" s="1"/>
  <c r="M46" i="11"/>
  <c r="L46" i="11"/>
  <c r="R45" i="11"/>
  <c r="Q45" i="11"/>
  <c r="P45" i="11"/>
  <c r="O45" i="11"/>
  <c r="N45" i="11"/>
  <c r="M45" i="11"/>
  <c r="L45" i="11"/>
  <c r="R42" i="11"/>
  <c r="Q42" i="11"/>
  <c r="P42" i="11"/>
  <c r="O42" i="11"/>
  <c r="N42" i="11"/>
  <c r="M42" i="11"/>
  <c r="L42" i="11"/>
  <c r="R41" i="11"/>
  <c r="J19" i="5" s="1"/>
  <c r="Q41" i="11"/>
  <c r="P41" i="11"/>
  <c r="O41" i="11"/>
  <c r="N41" i="11"/>
  <c r="F19" i="5" s="1"/>
  <c r="M41" i="11"/>
  <c r="L41" i="11"/>
  <c r="R40" i="11"/>
  <c r="J18" i="5" s="1"/>
  <c r="Q40" i="11"/>
  <c r="P40" i="11"/>
  <c r="O40" i="11"/>
  <c r="N40" i="11"/>
  <c r="F18" i="5" s="1"/>
  <c r="M40" i="11"/>
  <c r="L40" i="11"/>
  <c r="R39" i="11"/>
  <c r="J17" i="5" s="1"/>
  <c r="Q39" i="11"/>
  <c r="P39" i="11"/>
  <c r="O39" i="11"/>
  <c r="N39" i="11"/>
  <c r="F17" i="5" s="1"/>
  <c r="M39" i="11"/>
  <c r="L39" i="11"/>
  <c r="R38" i="11"/>
  <c r="J16" i="5" s="1"/>
  <c r="Q38" i="11"/>
  <c r="P38" i="11"/>
  <c r="O38" i="11"/>
  <c r="N38" i="11"/>
  <c r="F16" i="5" s="1"/>
  <c r="M38" i="11"/>
  <c r="L38" i="11"/>
  <c r="R37" i="11"/>
  <c r="J15" i="5" s="1"/>
  <c r="Q37" i="11"/>
  <c r="P37" i="11"/>
  <c r="O37" i="11"/>
  <c r="N37" i="11"/>
  <c r="M37" i="11"/>
  <c r="L37" i="11"/>
  <c r="R36" i="11"/>
  <c r="Q36" i="11"/>
  <c r="P36" i="11"/>
  <c r="O36" i="11"/>
  <c r="N36" i="11"/>
  <c r="M36" i="11"/>
  <c r="D14" i="5"/>
  <c r="R35" i="11"/>
  <c r="J13" i="5" s="1"/>
  <c r="Q35" i="11"/>
  <c r="P35" i="11"/>
  <c r="O35" i="11"/>
  <c r="N35" i="11"/>
  <c r="F13" i="5" s="1"/>
  <c r="M35" i="11"/>
  <c r="L35" i="11"/>
  <c r="R34" i="11"/>
  <c r="Q34" i="11"/>
  <c r="P34" i="11"/>
  <c r="O34" i="11"/>
  <c r="N34" i="11"/>
  <c r="M34" i="11"/>
  <c r="D12" i="5"/>
  <c r="R33" i="11"/>
  <c r="J11" i="5" s="1"/>
  <c r="Q33" i="11"/>
  <c r="P33" i="11"/>
  <c r="O33" i="11"/>
  <c r="N33" i="11"/>
  <c r="F11" i="5" s="1"/>
  <c r="M33" i="11"/>
  <c r="D11" i="5"/>
  <c r="R32" i="11"/>
  <c r="Q32" i="11"/>
  <c r="P32" i="11"/>
  <c r="O32" i="11"/>
  <c r="N32" i="11"/>
  <c r="M32" i="11"/>
  <c r="D10" i="5"/>
  <c r="R31" i="11"/>
  <c r="Q31" i="11"/>
  <c r="P31" i="11"/>
  <c r="O31" i="11"/>
  <c r="N31" i="11"/>
  <c r="M31" i="11"/>
  <c r="L31" i="11"/>
  <c r="D27" i="9" l="1"/>
  <c r="D11" i="9"/>
  <c r="E48" i="12"/>
  <c r="G11" i="9"/>
  <c r="G10" i="9" s="1"/>
  <c r="G27" i="9"/>
  <c r="H48" i="12"/>
  <c r="E28" i="9"/>
  <c r="E12" i="9"/>
  <c r="H46" i="12"/>
  <c r="G13" i="9"/>
  <c r="G29" i="9"/>
  <c r="H66" i="12"/>
  <c r="G75" i="12"/>
  <c r="I24" i="9"/>
  <c r="I8" i="9"/>
  <c r="F60" i="12"/>
  <c r="E19" i="9"/>
  <c r="E35" i="9"/>
  <c r="F33" i="5"/>
  <c r="F76" i="12"/>
  <c r="I80" i="12"/>
  <c r="F35" i="9"/>
  <c r="G60" i="12"/>
  <c r="G61" i="12" s="1"/>
  <c r="F19" i="9"/>
  <c r="H27" i="9"/>
  <c r="H11" i="9"/>
  <c r="I48" i="12"/>
  <c r="F12" i="9"/>
  <c r="F28" i="9"/>
  <c r="E46" i="12"/>
  <c r="D29" i="9"/>
  <c r="D13" i="9"/>
  <c r="D48" i="12"/>
  <c r="H33" i="9"/>
  <c r="E11" i="9"/>
  <c r="E27" i="9"/>
  <c r="E26" i="9" s="1"/>
  <c r="F48" i="12"/>
  <c r="G28" i="9"/>
  <c r="G12" i="9"/>
  <c r="F46" i="12"/>
  <c r="E13" i="9"/>
  <c r="E29" i="9"/>
  <c r="I75" i="12"/>
  <c r="G19" i="9"/>
  <c r="H60" i="12"/>
  <c r="G35" i="9"/>
  <c r="I46" i="12"/>
  <c r="H29" i="9"/>
  <c r="H13" i="9"/>
  <c r="F25" i="5"/>
  <c r="E17" i="9"/>
  <c r="F27" i="9"/>
  <c r="F11" i="9"/>
  <c r="G48" i="12"/>
  <c r="D28" i="9"/>
  <c r="D12" i="9"/>
  <c r="H28" i="9"/>
  <c r="H12" i="9"/>
  <c r="G46" i="12"/>
  <c r="F29" i="9"/>
  <c r="F13" i="9"/>
  <c r="H24" i="9"/>
  <c r="H8" i="9"/>
  <c r="G80" i="12"/>
  <c r="H35" i="9"/>
  <c r="I60" i="12"/>
  <c r="I61" i="12" s="1"/>
  <c r="H19" i="9"/>
  <c r="D19" i="9"/>
  <c r="E60" i="12"/>
  <c r="D35" i="9"/>
  <c r="J25" i="5"/>
  <c r="I17" i="9"/>
  <c r="J24" i="5"/>
  <c r="J66" i="12"/>
  <c r="J75" i="12" s="1"/>
  <c r="J29" i="5"/>
  <c r="J74" i="12"/>
  <c r="J33" i="5"/>
  <c r="J76" i="12"/>
  <c r="J23" i="5"/>
  <c r="I29" i="9"/>
  <c r="I13" i="9"/>
  <c r="J12" i="5"/>
  <c r="I12" i="9"/>
  <c r="I28" i="9"/>
  <c r="J10" i="5"/>
  <c r="I27" i="9"/>
  <c r="I26" i="9" s="1"/>
  <c r="I11" i="9"/>
  <c r="J48" i="12"/>
  <c r="J20" i="5"/>
  <c r="T39" i="7"/>
  <c r="T33" i="7"/>
  <c r="T29" i="7"/>
  <c r="T25" i="7"/>
  <c r="T19" i="7"/>
  <c r="T15" i="7"/>
  <c r="T11" i="7"/>
  <c r="T18" i="7"/>
  <c r="T10" i="7"/>
  <c r="T17" i="7"/>
  <c r="T36" i="7"/>
  <c r="T12" i="7"/>
  <c r="T38" i="7"/>
  <c r="T32" i="7"/>
  <c r="T28" i="7"/>
  <c r="T24" i="7"/>
  <c r="T27" i="7"/>
  <c r="T13" i="7"/>
  <c r="T26" i="7"/>
  <c r="T16" i="7"/>
  <c r="T37" i="7"/>
  <c r="T31" i="7"/>
  <c r="T23" i="7"/>
  <c r="T30" i="7"/>
  <c r="T20" i="7"/>
  <c r="J73" i="12"/>
  <c r="J14" i="5"/>
  <c r="J46" i="12"/>
  <c r="T14" i="7"/>
  <c r="J47" i="12"/>
  <c r="J44" i="12"/>
  <c r="J45" i="12"/>
  <c r="J9" i="5"/>
  <c r="T9" i="7"/>
  <c r="I30" i="9"/>
  <c r="I14" i="9"/>
  <c r="H30" i="9"/>
  <c r="H14" i="9"/>
  <c r="G30" i="9"/>
  <c r="G14" i="9"/>
  <c r="F30" i="9"/>
  <c r="F14" i="9"/>
  <c r="E30" i="9"/>
  <c r="E14" i="9"/>
  <c r="D30" i="9"/>
  <c r="D14" i="9"/>
  <c r="E39" i="5"/>
  <c r="J39" i="7"/>
  <c r="I39" i="7"/>
  <c r="E38" i="5"/>
  <c r="I38" i="7"/>
  <c r="J38" i="7"/>
  <c r="E37" i="5"/>
  <c r="J37" i="7"/>
  <c r="I37" i="7"/>
  <c r="E36" i="5"/>
  <c r="J36" i="7"/>
  <c r="I36" i="7"/>
  <c r="I38" i="5"/>
  <c r="U38" i="7"/>
  <c r="R38" i="7"/>
  <c r="S38" i="7"/>
  <c r="V38" i="7"/>
  <c r="G39" i="5"/>
  <c r="L39" i="7"/>
  <c r="M39" i="7"/>
  <c r="H39" i="5"/>
  <c r="P39" i="7"/>
  <c r="O39" i="7"/>
  <c r="H37" i="5"/>
  <c r="O37" i="7"/>
  <c r="P37" i="7"/>
  <c r="I37" i="5"/>
  <c r="S37" i="7"/>
  <c r="U37" i="7"/>
  <c r="V37" i="7"/>
  <c r="R37" i="7"/>
  <c r="G38" i="5"/>
  <c r="M38" i="7"/>
  <c r="L38" i="7"/>
  <c r="G37" i="5"/>
  <c r="M37" i="7"/>
  <c r="L37" i="7"/>
  <c r="H38" i="5"/>
  <c r="O38" i="7"/>
  <c r="P38" i="7"/>
  <c r="I39" i="5"/>
  <c r="V39" i="7"/>
  <c r="R39" i="7"/>
  <c r="S39" i="7"/>
  <c r="U39" i="7"/>
  <c r="I36" i="5"/>
  <c r="V36" i="7"/>
  <c r="U36" i="7"/>
  <c r="H36" i="5"/>
  <c r="R36" i="7"/>
  <c r="S36" i="7"/>
  <c r="G36" i="5"/>
  <c r="P36" i="7"/>
  <c r="M36" i="7"/>
  <c r="L36" i="7"/>
  <c r="O36" i="7"/>
  <c r="D39" i="5"/>
  <c r="G39" i="7"/>
  <c r="F39" i="7"/>
  <c r="D38" i="5"/>
  <c r="G38" i="7"/>
  <c r="F38" i="7"/>
  <c r="D37" i="5"/>
  <c r="G37" i="7"/>
  <c r="F37" i="7"/>
  <c r="D36" i="5"/>
  <c r="F36" i="7"/>
  <c r="G36" i="7"/>
  <c r="F27" i="5"/>
  <c r="F66" i="12"/>
  <c r="E66" i="12"/>
  <c r="D66" i="12"/>
  <c r="F29" i="5"/>
  <c r="F74" i="12"/>
  <c r="F23" i="5"/>
  <c r="E31" i="5"/>
  <c r="J31" i="7"/>
  <c r="I31" i="7"/>
  <c r="E32" i="5"/>
  <c r="J32" i="7"/>
  <c r="I32" i="7"/>
  <c r="E30" i="5"/>
  <c r="I30" i="7"/>
  <c r="J30" i="7"/>
  <c r="E28" i="5"/>
  <c r="J28" i="7"/>
  <c r="I28" i="7"/>
  <c r="E27" i="5"/>
  <c r="J27" i="7"/>
  <c r="I27" i="7"/>
  <c r="E26" i="5"/>
  <c r="I26" i="7"/>
  <c r="J26" i="7"/>
  <c r="E25" i="5"/>
  <c r="I25" i="7"/>
  <c r="J25" i="7"/>
  <c r="E24" i="5"/>
  <c r="J24" i="7"/>
  <c r="I24" i="7"/>
  <c r="E23" i="5"/>
  <c r="I23" i="7"/>
  <c r="J23" i="7"/>
  <c r="E29" i="5"/>
  <c r="J29" i="7"/>
  <c r="I29" i="7"/>
  <c r="E74" i="12"/>
  <c r="F29" i="7"/>
  <c r="G29" i="7"/>
  <c r="E33" i="5"/>
  <c r="J33" i="7"/>
  <c r="I33" i="7"/>
  <c r="D31" i="5"/>
  <c r="G31" i="7"/>
  <c r="F31" i="7"/>
  <c r="D30" i="5"/>
  <c r="G30" i="7"/>
  <c r="F30" i="7"/>
  <c r="D32" i="5"/>
  <c r="F32" i="7"/>
  <c r="G32" i="7"/>
  <c r="D28" i="5"/>
  <c r="F28" i="7"/>
  <c r="G28" i="7"/>
  <c r="D27" i="5"/>
  <c r="F27" i="7"/>
  <c r="G27" i="7"/>
  <c r="D26" i="5"/>
  <c r="F26" i="7"/>
  <c r="G26" i="7"/>
  <c r="D25" i="5"/>
  <c r="G25" i="7"/>
  <c r="F25" i="7"/>
  <c r="D24" i="5"/>
  <c r="F24" i="7"/>
  <c r="G24" i="7"/>
  <c r="D23" i="5"/>
  <c r="G23" i="7"/>
  <c r="F23" i="7"/>
  <c r="D33" i="5"/>
  <c r="F33" i="7"/>
  <c r="G33" i="7"/>
  <c r="D74" i="12"/>
  <c r="I31" i="5"/>
  <c r="V31" i="7"/>
  <c r="U31" i="7"/>
  <c r="I32" i="5"/>
  <c r="V32" i="7"/>
  <c r="U32" i="7"/>
  <c r="I30" i="5"/>
  <c r="U30" i="7"/>
  <c r="V30" i="7"/>
  <c r="I28" i="5"/>
  <c r="U28" i="7"/>
  <c r="V28" i="7"/>
  <c r="I27" i="5"/>
  <c r="V27" i="7"/>
  <c r="U27" i="7"/>
  <c r="I26" i="5"/>
  <c r="U26" i="7"/>
  <c r="V26" i="7"/>
  <c r="I25" i="5"/>
  <c r="V25" i="7"/>
  <c r="U25" i="7"/>
  <c r="I24" i="5"/>
  <c r="V24" i="7"/>
  <c r="U24" i="7"/>
  <c r="I29" i="5"/>
  <c r="V29" i="7"/>
  <c r="U29" i="7"/>
  <c r="I74" i="12"/>
  <c r="I23" i="5"/>
  <c r="U23" i="7"/>
  <c r="V23" i="7"/>
  <c r="I33" i="5"/>
  <c r="V33" i="7"/>
  <c r="U33" i="7"/>
  <c r="H31" i="5"/>
  <c r="R31" i="7"/>
  <c r="S31" i="7"/>
  <c r="H30" i="5"/>
  <c r="S30" i="7"/>
  <c r="R30" i="7"/>
  <c r="H32" i="5"/>
  <c r="R32" i="7"/>
  <c r="S32" i="7"/>
  <c r="H28" i="5"/>
  <c r="R28" i="7"/>
  <c r="S28" i="7"/>
  <c r="H27" i="5"/>
  <c r="S27" i="7"/>
  <c r="R27" i="7"/>
  <c r="H26" i="5"/>
  <c r="R26" i="7"/>
  <c r="S26" i="7"/>
  <c r="H25" i="5"/>
  <c r="S25" i="7"/>
  <c r="R25" i="7"/>
  <c r="H24" i="5"/>
  <c r="R24" i="7"/>
  <c r="S24" i="7"/>
  <c r="H23" i="5"/>
  <c r="S23" i="7"/>
  <c r="R23" i="7"/>
  <c r="H33" i="5"/>
  <c r="R33" i="7"/>
  <c r="S33" i="7"/>
  <c r="H29" i="5"/>
  <c r="R29" i="7"/>
  <c r="S29" i="7"/>
  <c r="H74" i="12"/>
  <c r="G31" i="5"/>
  <c r="P31" i="7"/>
  <c r="O31" i="7"/>
  <c r="M31" i="7"/>
  <c r="L31" i="7"/>
  <c r="G30" i="5"/>
  <c r="M30" i="7"/>
  <c r="O30" i="7"/>
  <c r="P30" i="7"/>
  <c r="L30" i="7"/>
  <c r="G32" i="5"/>
  <c r="P32" i="7"/>
  <c r="O32" i="7"/>
  <c r="L32" i="7"/>
  <c r="M32" i="7"/>
  <c r="G28" i="5"/>
  <c r="P28" i="7"/>
  <c r="O28" i="7"/>
  <c r="M28" i="7"/>
  <c r="L28" i="7"/>
  <c r="G27" i="5"/>
  <c r="P27" i="7"/>
  <c r="L27" i="7"/>
  <c r="O27" i="7"/>
  <c r="M27" i="7"/>
  <c r="G26" i="5"/>
  <c r="M26" i="7"/>
  <c r="L26" i="7"/>
  <c r="P26" i="7"/>
  <c r="O26" i="7"/>
  <c r="G25" i="5"/>
  <c r="M25" i="7"/>
  <c r="O25" i="7"/>
  <c r="P25" i="7"/>
  <c r="L25" i="7"/>
  <c r="G24" i="5"/>
  <c r="M24" i="7"/>
  <c r="P24" i="7"/>
  <c r="O24" i="7"/>
  <c r="L24" i="7"/>
  <c r="G29" i="5"/>
  <c r="P29" i="7"/>
  <c r="L29" i="7"/>
  <c r="O29" i="7"/>
  <c r="M29" i="7"/>
  <c r="G74" i="12"/>
  <c r="G33" i="5"/>
  <c r="P33" i="7"/>
  <c r="L33" i="7"/>
  <c r="M33" i="7"/>
  <c r="O33" i="7"/>
  <c r="G23" i="5"/>
  <c r="M23" i="7"/>
  <c r="L23" i="7"/>
  <c r="O23" i="7"/>
  <c r="P23" i="7"/>
  <c r="G40" i="5"/>
  <c r="L40" i="7"/>
  <c r="M40" i="7"/>
  <c r="H41" i="5"/>
  <c r="P41" i="7"/>
  <c r="O41" i="7"/>
  <c r="I43" i="5"/>
  <c r="S43" i="7"/>
  <c r="R43" i="7"/>
  <c r="H40" i="5"/>
  <c r="O40" i="7"/>
  <c r="P40" i="7"/>
  <c r="E41" i="5"/>
  <c r="I41" i="5"/>
  <c r="S41" i="7"/>
  <c r="R41" i="7"/>
  <c r="F43" i="5"/>
  <c r="J43" i="7"/>
  <c r="I43" i="7"/>
  <c r="J43" i="5"/>
  <c r="V43" i="7"/>
  <c r="U43" i="7"/>
  <c r="T43" i="7"/>
  <c r="I40" i="5"/>
  <c r="R40" i="7"/>
  <c r="S40" i="7"/>
  <c r="F41" i="5"/>
  <c r="J41" i="7"/>
  <c r="I41" i="7"/>
  <c r="J41" i="5"/>
  <c r="V41" i="7"/>
  <c r="U41" i="7"/>
  <c r="T41" i="7"/>
  <c r="J10" i="12"/>
  <c r="G43" i="5"/>
  <c r="M43" i="7"/>
  <c r="L43" i="7"/>
  <c r="F40" i="5"/>
  <c r="I40" i="7"/>
  <c r="J40" i="7"/>
  <c r="J40" i="5"/>
  <c r="U40" i="7"/>
  <c r="T40" i="7"/>
  <c r="V40" i="7"/>
  <c r="G41" i="5"/>
  <c r="M41" i="7"/>
  <c r="L41" i="7"/>
  <c r="H43" i="5"/>
  <c r="P43" i="7"/>
  <c r="O43" i="7"/>
  <c r="D40" i="5"/>
  <c r="F40" i="7"/>
  <c r="G40" i="7"/>
  <c r="D43" i="5"/>
  <c r="G43" i="7"/>
  <c r="F43" i="7"/>
  <c r="D41" i="5"/>
  <c r="F41" i="7"/>
  <c r="G41" i="7"/>
  <c r="I19" i="5"/>
  <c r="U19" i="7"/>
  <c r="V19" i="7"/>
  <c r="I18" i="5"/>
  <c r="V18" i="7"/>
  <c r="U18" i="7"/>
  <c r="I17" i="5"/>
  <c r="V17" i="7"/>
  <c r="U17" i="7"/>
  <c r="I16" i="5"/>
  <c r="U16" i="7"/>
  <c r="V16" i="7"/>
  <c r="I15" i="5"/>
  <c r="U15" i="7"/>
  <c r="V15" i="7"/>
  <c r="I13" i="5"/>
  <c r="U13" i="7"/>
  <c r="V13" i="7"/>
  <c r="I12" i="5"/>
  <c r="V12" i="7"/>
  <c r="U12" i="7"/>
  <c r="I11" i="5"/>
  <c r="U11" i="7"/>
  <c r="V11" i="7"/>
  <c r="I10" i="5"/>
  <c r="U10" i="7"/>
  <c r="V10" i="7"/>
  <c r="I9" i="5"/>
  <c r="U9" i="7"/>
  <c r="Q9" i="7"/>
  <c r="V9" i="7"/>
  <c r="I20" i="5"/>
  <c r="U20" i="7"/>
  <c r="Q40" i="7"/>
  <c r="Q36" i="7"/>
  <c r="Q30" i="7"/>
  <c r="Q26" i="7"/>
  <c r="Q20" i="7"/>
  <c r="Q16" i="7"/>
  <c r="Q12" i="7"/>
  <c r="Q10" i="7"/>
  <c r="Q37" i="7"/>
  <c r="Q23" i="7"/>
  <c r="Q39" i="7"/>
  <c r="Q33" i="7"/>
  <c r="Q29" i="7"/>
  <c r="Q25" i="7"/>
  <c r="Q19" i="7"/>
  <c r="Q15" i="7"/>
  <c r="Q11" i="7"/>
  <c r="Q41" i="7"/>
  <c r="Q27" i="7"/>
  <c r="Q13" i="7"/>
  <c r="V20" i="7"/>
  <c r="Q43" i="7"/>
  <c r="Q38" i="7"/>
  <c r="Q32" i="7"/>
  <c r="Q28" i="7"/>
  <c r="Q24" i="7"/>
  <c r="Q18" i="7"/>
  <c r="Q31" i="7"/>
  <c r="Q17" i="7"/>
  <c r="I73" i="12"/>
  <c r="I10" i="12"/>
  <c r="I14" i="5"/>
  <c r="V14" i="7"/>
  <c r="Q14" i="7"/>
  <c r="U14" i="7"/>
  <c r="I45" i="12"/>
  <c r="I47" i="12"/>
  <c r="I44" i="12"/>
  <c r="F15" i="5"/>
  <c r="F12" i="5"/>
  <c r="F10" i="5"/>
  <c r="F14" i="5"/>
  <c r="H14" i="7"/>
  <c r="F44" i="12"/>
  <c r="F47" i="12"/>
  <c r="F45" i="12"/>
  <c r="F9" i="5"/>
  <c r="H9" i="7"/>
  <c r="F20" i="5"/>
  <c r="H43" i="7"/>
  <c r="H38" i="7"/>
  <c r="H32" i="7"/>
  <c r="H28" i="7"/>
  <c r="H24" i="7"/>
  <c r="H18" i="7"/>
  <c r="H10" i="7"/>
  <c r="H29" i="7"/>
  <c r="H41" i="7"/>
  <c r="H37" i="7"/>
  <c r="H31" i="7"/>
  <c r="H27" i="7"/>
  <c r="H23" i="7"/>
  <c r="H17" i="7"/>
  <c r="H13" i="7"/>
  <c r="H39" i="7"/>
  <c r="H25" i="7"/>
  <c r="H15" i="7"/>
  <c r="H40" i="7"/>
  <c r="H36" i="7"/>
  <c r="H30" i="7"/>
  <c r="H26" i="7"/>
  <c r="H20" i="7"/>
  <c r="H16" i="7"/>
  <c r="H12" i="7"/>
  <c r="H33" i="7"/>
  <c r="H19" i="7"/>
  <c r="H11" i="7"/>
  <c r="F73" i="12"/>
  <c r="F10" i="12"/>
  <c r="E19" i="5"/>
  <c r="I19" i="7"/>
  <c r="J19" i="7"/>
  <c r="E18" i="5"/>
  <c r="J18" i="7"/>
  <c r="I18" i="7"/>
  <c r="E17" i="5"/>
  <c r="J17" i="7"/>
  <c r="I17" i="7"/>
  <c r="E16" i="5"/>
  <c r="J16" i="7"/>
  <c r="I16" i="7"/>
  <c r="E15" i="5"/>
  <c r="I15" i="7"/>
  <c r="J15" i="7"/>
  <c r="E13" i="5"/>
  <c r="J13" i="7"/>
  <c r="I13" i="7"/>
  <c r="E12" i="5"/>
  <c r="J12" i="7"/>
  <c r="I12" i="7"/>
  <c r="F12" i="7"/>
  <c r="G12" i="7"/>
  <c r="E11" i="5"/>
  <c r="J11" i="7"/>
  <c r="I11" i="7"/>
  <c r="G11" i="7"/>
  <c r="F11" i="7"/>
  <c r="E10" i="5"/>
  <c r="I10" i="7"/>
  <c r="J10" i="7"/>
  <c r="F10" i="7"/>
  <c r="G10" i="7"/>
  <c r="E14" i="5"/>
  <c r="J14" i="7"/>
  <c r="I14" i="7"/>
  <c r="E14" i="7"/>
  <c r="E47" i="12"/>
  <c r="E44" i="12"/>
  <c r="E45" i="12"/>
  <c r="F14" i="7"/>
  <c r="G14" i="7"/>
  <c r="E20" i="5"/>
  <c r="I20" i="7"/>
  <c r="E40" i="7"/>
  <c r="E36" i="7"/>
  <c r="E30" i="7"/>
  <c r="E26" i="7"/>
  <c r="E20" i="7"/>
  <c r="E16" i="7"/>
  <c r="E12" i="7"/>
  <c r="E11" i="7"/>
  <c r="E41" i="7"/>
  <c r="E23" i="7"/>
  <c r="E39" i="7"/>
  <c r="E33" i="7"/>
  <c r="E29" i="7"/>
  <c r="E25" i="7"/>
  <c r="E19" i="7"/>
  <c r="E15" i="7"/>
  <c r="E37" i="7"/>
  <c r="E17" i="7"/>
  <c r="J20" i="7"/>
  <c r="E43" i="7"/>
  <c r="E38" i="7"/>
  <c r="E32" i="7"/>
  <c r="E28" i="7"/>
  <c r="E24" i="7"/>
  <c r="E18" i="7"/>
  <c r="E10" i="7"/>
  <c r="E31" i="7"/>
  <c r="E27" i="7"/>
  <c r="E13" i="7"/>
  <c r="E10" i="12"/>
  <c r="E73" i="12"/>
  <c r="E9" i="5"/>
  <c r="E9" i="7"/>
  <c r="J9" i="7"/>
  <c r="I9" i="7"/>
  <c r="D16" i="5"/>
  <c r="F16" i="7"/>
  <c r="G16" i="7"/>
  <c r="D19" i="5"/>
  <c r="F19" i="7"/>
  <c r="G19" i="7"/>
  <c r="D17" i="5"/>
  <c r="F17" i="7"/>
  <c r="G17" i="7"/>
  <c r="D15" i="5"/>
  <c r="F15" i="7"/>
  <c r="G15" i="7"/>
  <c r="D18" i="5"/>
  <c r="F18" i="7"/>
  <c r="G18" i="7"/>
  <c r="D13" i="5"/>
  <c r="F13" i="7"/>
  <c r="G13" i="7"/>
  <c r="H19" i="5"/>
  <c r="R19" i="7"/>
  <c r="S19" i="7"/>
  <c r="H18" i="5"/>
  <c r="S18" i="7"/>
  <c r="R18" i="7"/>
  <c r="H17" i="5"/>
  <c r="R17" i="7"/>
  <c r="S17" i="7"/>
  <c r="H16" i="5"/>
  <c r="S16" i="7"/>
  <c r="R16" i="7"/>
  <c r="H15" i="5"/>
  <c r="R15" i="7"/>
  <c r="S15" i="7"/>
  <c r="H13" i="5"/>
  <c r="R13" i="7"/>
  <c r="S13" i="7"/>
  <c r="H12" i="5"/>
  <c r="R12" i="7"/>
  <c r="S12" i="7"/>
  <c r="H11" i="5"/>
  <c r="S11" i="7"/>
  <c r="R11" i="7"/>
  <c r="H10" i="5"/>
  <c r="R10" i="7"/>
  <c r="S10" i="7"/>
  <c r="H9" i="5"/>
  <c r="S9" i="7"/>
  <c r="R9" i="7"/>
  <c r="N9" i="7"/>
  <c r="H20" i="5"/>
  <c r="N20" i="7"/>
  <c r="N39" i="7"/>
  <c r="N33" i="7"/>
  <c r="N29" i="7"/>
  <c r="N25" i="7"/>
  <c r="N19" i="7"/>
  <c r="N15" i="7"/>
  <c r="N11" i="7"/>
  <c r="N43" i="7"/>
  <c r="N38" i="7"/>
  <c r="N32" i="7"/>
  <c r="N28" i="7"/>
  <c r="N24" i="7"/>
  <c r="N18" i="7"/>
  <c r="N10" i="7"/>
  <c r="S20" i="7"/>
  <c r="N41" i="7"/>
  <c r="N37" i="7"/>
  <c r="N31" i="7"/>
  <c r="N27" i="7"/>
  <c r="N23" i="7"/>
  <c r="N17" i="7"/>
  <c r="N13" i="7"/>
  <c r="R20" i="7"/>
  <c r="N40" i="7"/>
  <c r="N36" i="7"/>
  <c r="N30" i="7"/>
  <c r="N26" i="7"/>
  <c r="N16" i="7"/>
  <c r="N12" i="7"/>
  <c r="H73" i="12"/>
  <c r="H10" i="12"/>
  <c r="H14" i="5"/>
  <c r="S14" i="7"/>
  <c r="R14" i="7"/>
  <c r="N14" i="7"/>
  <c r="H47" i="12"/>
  <c r="H45" i="12"/>
  <c r="H44" i="12"/>
  <c r="G19" i="5"/>
  <c r="O19" i="7"/>
  <c r="L19" i="7"/>
  <c r="M19" i="7"/>
  <c r="P19" i="7"/>
  <c r="G18" i="5"/>
  <c r="P18" i="7"/>
  <c r="O18" i="7"/>
  <c r="M18" i="7"/>
  <c r="L18" i="7"/>
  <c r="G17" i="5"/>
  <c r="P17" i="7"/>
  <c r="O17" i="7"/>
  <c r="M17" i="7"/>
  <c r="L17" i="7"/>
  <c r="G16" i="5"/>
  <c r="P16" i="7"/>
  <c r="M16" i="7"/>
  <c r="O16" i="7"/>
  <c r="L16" i="7"/>
  <c r="G15" i="5"/>
  <c r="O15" i="7"/>
  <c r="P15" i="7"/>
  <c r="L15" i="7"/>
  <c r="M15" i="7"/>
  <c r="G13" i="5"/>
  <c r="P13" i="7"/>
  <c r="O13" i="7"/>
  <c r="M13" i="7"/>
  <c r="L13" i="7"/>
  <c r="G12" i="5"/>
  <c r="P12" i="7"/>
  <c r="O12" i="7"/>
  <c r="M12" i="7"/>
  <c r="L12" i="7"/>
  <c r="G11" i="5"/>
  <c r="P11" i="7"/>
  <c r="M11" i="7"/>
  <c r="O11" i="7"/>
  <c r="L11" i="7"/>
  <c r="G10" i="5"/>
  <c r="M10" i="7"/>
  <c r="P10" i="7"/>
  <c r="O10" i="7"/>
  <c r="L10" i="7"/>
  <c r="G20" i="5"/>
  <c r="O20" i="7"/>
  <c r="L20" i="7"/>
  <c r="K43" i="7"/>
  <c r="K38" i="7"/>
  <c r="K32" i="7"/>
  <c r="K28" i="7"/>
  <c r="K24" i="7"/>
  <c r="K18" i="7"/>
  <c r="K10" i="7"/>
  <c r="K41" i="7"/>
  <c r="K37" i="7"/>
  <c r="K31" i="7"/>
  <c r="K27" i="7"/>
  <c r="K23" i="7"/>
  <c r="K17" i="7"/>
  <c r="K13" i="7"/>
  <c r="P20" i="7"/>
  <c r="M20" i="7"/>
  <c r="K40" i="7"/>
  <c r="K36" i="7"/>
  <c r="K30" i="7"/>
  <c r="K26" i="7"/>
  <c r="K20" i="7"/>
  <c r="K16" i="7"/>
  <c r="K12" i="7"/>
  <c r="K39" i="7"/>
  <c r="K33" i="7"/>
  <c r="K29" i="7"/>
  <c r="K25" i="7"/>
  <c r="K19" i="7"/>
  <c r="K15" i="7"/>
  <c r="K11" i="7"/>
  <c r="G73" i="12"/>
  <c r="G10" i="12"/>
  <c r="G14" i="5"/>
  <c r="P14" i="7"/>
  <c r="M14" i="7"/>
  <c r="K14" i="7"/>
  <c r="O14" i="7"/>
  <c r="L14" i="7"/>
  <c r="G47" i="12"/>
  <c r="G44" i="12"/>
  <c r="G45" i="12"/>
  <c r="G9" i="5"/>
  <c r="P9" i="7"/>
  <c r="M9" i="7"/>
  <c r="K9" i="7"/>
  <c r="O9" i="7"/>
  <c r="L9" i="7"/>
  <c r="D20" i="5"/>
  <c r="D41" i="7"/>
  <c r="D37" i="7"/>
  <c r="D31" i="7"/>
  <c r="D27" i="7"/>
  <c r="D23" i="7"/>
  <c r="D17" i="7"/>
  <c r="D13" i="7"/>
  <c r="D33" i="7"/>
  <c r="D29" i="7"/>
  <c r="D19" i="7"/>
  <c r="D11" i="7"/>
  <c r="F20" i="7"/>
  <c r="D43" i="7"/>
  <c r="D28" i="7"/>
  <c r="D18" i="7"/>
  <c r="D10" i="7"/>
  <c r="G20" i="7"/>
  <c r="D40" i="7"/>
  <c r="D36" i="7"/>
  <c r="D30" i="7"/>
  <c r="D26" i="7"/>
  <c r="D20" i="7"/>
  <c r="D16" i="7"/>
  <c r="D12" i="7"/>
  <c r="D39" i="7"/>
  <c r="D25" i="7"/>
  <c r="D15" i="7"/>
  <c r="D38" i="7"/>
  <c r="D32" i="7"/>
  <c r="D24" i="7"/>
  <c r="D73" i="12"/>
  <c r="D10" i="12"/>
  <c r="D14" i="7"/>
  <c r="D9" i="5"/>
  <c r="G9" i="7"/>
  <c r="D9" i="7"/>
  <c r="F9" i="7"/>
  <c r="L9" i="11"/>
  <c r="D9" i="4" s="1"/>
  <c r="L8" i="11"/>
  <c r="D8" i="4" s="1"/>
  <c r="H67" i="12" l="1"/>
  <c r="G33" i="9"/>
  <c r="F10" i="9"/>
  <c r="H61" i="12"/>
  <c r="E10" i="9"/>
  <c r="I67" i="12"/>
  <c r="H10" i="9"/>
  <c r="H75" i="12"/>
  <c r="I49" i="12"/>
  <c r="J49" i="12"/>
  <c r="F26" i="9"/>
  <c r="H26" i="9"/>
  <c r="D10" i="9"/>
  <c r="G26" i="9"/>
  <c r="D26" i="9"/>
  <c r="F61" i="12"/>
  <c r="I33" i="9"/>
  <c r="J67" i="12"/>
  <c r="I10" i="9"/>
  <c r="E75" i="12"/>
  <c r="D33" i="9"/>
  <c r="E33" i="9"/>
  <c r="F33" i="9"/>
  <c r="D75" i="12"/>
  <c r="F75" i="12"/>
  <c r="G67" i="12"/>
  <c r="F67" i="12"/>
  <c r="E67" i="12"/>
  <c r="F49" i="12"/>
  <c r="E49" i="12"/>
  <c r="H49" i="12"/>
  <c r="G49" i="12"/>
  <c r="R26" i="11"/>
  <c r="R25" i="11"/>
  <c r="J25" i="4" s="1"/>
  <c r="Q25" i="11"/>
  <c r="I25" i="4" s="1"/>
  <c r="P25" i="11"/>
  <c r="O25" i="11"/>
  <c r="N25" i="11"/>
  <c r="M25" i="11"/>
  <c r="L25" i="11"/>
  <c r="R24" i="11"/>
  <c r="R23" i="11"/>
  <c r="J23" i="4" s="1"/>
  <c r="Q23" i="11"/>
  <c r="I23" i="4" s="1"/>
  <c r="P23" i="11"/>
  <c r="H23" i="4" s="1"/>
  <c r="O23" i="11"/>
  <c r="G23" i="4" s="1"/>
  <c r="N23" i="11"/>
  <c r="F23" i="4" s="1"/>
  <c r="M23" i="11"/>
  <c r="E23" i="4" s="1"/>
  <c r="L23" i="11"/>
  <c r="D23" i="4" s="1"/>
  <c r="R22" i="11"/>
  <c r="J22" i="4" s="1"/>
  <c r="Q22" i="11"/>
  <c r="I22" i="4" s="1"/>
  <c r="P22" i="11"/>
  <c r="H22" i="4" s="1"/>
  <c r="O22" i="11"/>
  <c r="G22" i="4" s="1"/>
  <c r="N22" i="11"/>
  <c r="F22" i="4" s="1"/>
  <c r="M22" i="11"/>
  <c r="E22" i="4" s="1"/>
  <c r="L22" i="11"/>
  <c r="D22" i="4" s="1"/>
  <c r="R21" i="11"/>
  <c r="J21" i="4" s="1"/>
  <c r="Q21" i="11"/>
  <c r="I21" i="4" s="1"/>
  <c r="P21" i="11"/>
  <c r="H21" i="4" s="1"/>
  <c r="O21" i="11"/>
  <c r="G21" i="4" s="1"/>
  <c r="N21" i="11"/>
  <c r="F21" i="4" s="1"/>
  <c r="M21" i="11"/>
  <c r="E21" i="4" s="1"/>
  <c r="L21" i="11"/>
  <c r="D21" i="4" s="1"/>
  <c r="R20" i="11"/>
  <c r="J20" i="4" s="1"/>
  <c r="Q20" i="11"/>
  <c r="I20" i="4" s="1"/>
  <c r="P20" i="11"/>
  <c r="H20" i="4" s="1"/>
  <c r="O20" i="11"/>
  <c r="G20" i="4" s="1"/>
  <c r="N20" i="11"/>
  <c r="F20" i="4" s="1"/>
  <c r="M20" i="11"/>
  <c r="E20" i="4" s="1"/>
  <c r="L20" i="11"/>
  <c r="D20" i="4" s="1"/>
  <c r="R19" i="11"/>
  <c r="J19" i="4" s="1"/>
  <c r="Q19" i="11"/>
  <c r="I19" i="4" s="1"/>
  <c r="P19" i="11"/>
  <c r="H19" i="4" s="1"/>
  <c r="O19" i="11"/>
  <c r="G19" i="4" s="1"/>
  <c r="N19" i="11"/>
  <c r="F19" i="4" s="1"/>
  <c r="M19" i="11"/>
  <c r="E19" i="4" s="1"/>
  <c r="L19" i="11"/>
  <c r="D19" i="4" s="1"/>
  <c r="R18" i="11"/>
  <c r="Q18" i="11"/>
  <c r="P18" i="11"/>
  <c r="O18" i="11"/>
  <c r="N18" i="11"/>
  <c r="G70" i="12" s="1"/>
  <c r="M18" i="11"/>
  <c r="F70" i="12" s="1"/>
  <c r="L18" i="11"/>
  <c r="R17" i="11"/>
  <c r="R16" i="11"/>
  <c r="J16" i="4" s="1"/>
  <c r="Q16" i="11"/>
  <c r="I16" i="4" s="1"/>
  <c r="P16" i="11"/>
  <c r="H16" i="4" s="1"/>
  <c r="O16" i="11"/>
  <c r="G16" i="4" s="1"/>
  <c r="N16" i="11"/>
  <c r="F16" i="4" s="1"/>
  <c r="M16" i="11"/>
  <c r="E16" i="4" s="1"/>
  <c r="L16" i="11"/>
  <c r="D16" i="4" s="1"/>
  <c r="R15" i="11"/>
  <c r="R14" i="11"/>
  <c r="J14" i="4" s="1"/>
  <c r="Q14" i="11"/>
  <c r="I14" i="4" s="1"/>
  <c r="P14" i="11"/>
  <c r="H14" i="4" s="1"/>
  <c r="O14" i="11"/>
  <c r="G14" i="4" s="1"/>
  <c r="N14" i="11"/>
  <c r="F14" i="4" s="1"/>
  <c r="M14" i="11"/>
  <c r="E14" i="4" s="1"/>
  <c r="L14" i="11"/>
  <c r="D14" i="4" s="1"/>
  <c r="R13" i="11"/>
  <c r="R12" i="11"/>
  <c r="Q12" i="11"/>
  <c r="P12" i="11"/>
  <c r="O12" i="11"/>
  <c r="N12" i="11"/>
  <c r="M12" i="11"/>
  <c r="L12" i="11"/>
  <c r="R11" i="11"/>
  <c r="M11" i="11"/>
  <c r="L11" i="11"/>
  <c r="R10" i="11"/>
  <c r="J10" i="4" s="1"/>
  <c r="Q10" i="11"/>
  <c r="I10" i="4" s="1"/>
  <c r="P10" i="11"/>
  <c r="H10" i="4" s="1"/>
  <c r="O10" i="11"/>
  <c r="G10" i="4" s="1"/>
  <c r="N10" i="11"/>
  <c r="F10" i="4" s="1"/>
  <c r="M10" i="11"/>
  <c r="E10" i="4" s="1"/>
  <c r="L10" i="11"/>
  <c r="D10" i="4" s="1"/>
  <c r="R9" i="11"/>
  <c r="J9" i="4" s="1"/>
  <c r="Q9" i="11"/>
  <c r="I9" i="4" s="1"/>
  <c r="P9" i="11"/>
  <c r="H9" i="4" s="1"/>
  <c r="O9" i="11"/>
  <c r="G9" i="4" s="1"/>
  <c r="N9" i="11"/>
  <c r="F9" i="4" s="1"/>
  <c r="M9" i="11"/>
  <c r="E9" i="4" s="1"/>
  <c r="R8" i="11"/>
  <c r="J8" i="4" s="1"/>
  <c r="Q8" i="11"/>
  <c r="I8" i="4" s="1"/>
  <c r="P8" i="11"/>
  <c r="H8" i="4" s="1"/>
  <c r="O8" i="11"/>
  <c r="G8" i="4" s="1"/>
  <c r="N8" i="11"/>
  <c r="F8" i="4" s="1"/>
  <c r="M8" i="11"/>
  <c r="E8" i="4" s="1"/>
  <c r="E11" i="4" l="1"/>
  <c r="E17" i="12"/>
  <c r="E16" i="12"/>
  <c r="E41" i="12"/>
  <c r="E8" i="12"/>
  <c r="E38" i="12"/>
  <c r="E33" i="12"/>
  <c r="F12" i="4"/>
  <c r="F35" i="12"/>
  <c r="F39" i="12"/>
  <c r="F40" i="12"/>
  <c r="F34" i="12"/>
  <c r="D25" i="4"/>
  <c r="H25" i="4"/>
  <c r="E70" i="12"/>
  <c r="G12" i="4"/>
  <c r="G35" i="12"/>
  <c r="G40" i="12"/>
  <c r="G39" i="12"/>
  <c r="G34" i="12"/>
  <c r="G18" i="4"/>
  <c r="F32" i="9"/>
  <c r="F16" i="9"/>
  <c r="H70" i="12"/>
  <c r="G65" i="12"/>
  <c r="E25" i="4"/>
  <c r="F18" i="4"/>
  <c r="E16" i="9"/>
  <c r="E32" i="9"/>
  <c r="F65" i="12"/>
  <c r="D12" i="4"/>
  <c r="D39" i="12"/>
  <c r="D34" i="12"/>
  <c r="D35" i="12"/>
  <c r="D40" i="12"/>
  <c r="H12" i="4"/>
  <c r="H35" i="12"/>
  <c r="H40" i="12"/>
  <c r="H34" i="12"/>
  <c r="H39" i="12"/>
  <c r="D18" i="4"/>
  <c r="D65" i="12"/>
  <c r="H18" i="4"/>
  <c r="G32" i="9"/>
  <c r="G16" i="9"/>
  <c r="I70" i="12"/>
  <c r="H65" i="12"/>
  <c r="F25" i="4"/>
  <c r="D33" i="12"/>
  <c r="D38" i="12"/>
  <c r="D41" i="12"/>
  <c r="D8" i="12"/>
  <c r="E12" i="4"/>
  <c r="E40" i="12"/>
  <c r="E35" i="12"/>
  <c r="E39" i="12"/>
  <c r="E34" i="12"/>
  <c r="I12" i="4"/>
  <c r="I40" i="12"/>
  <c r="I39" i="12"/>
  <c r="I34" i="12"/>
  <c r="I35" i="12"/>
  <c r="E18" i="4"/>
  <c r="D32" i="9"/>
  <c r="D16" i="9"/>
  <c r="E65" i="12"/>
  <c r="I18" i="4"/>
  <c r="H32" i="9"/>
  <c r="H16" i="9"/>
  <c r="I65" i="12"/>
  <c r="G25" i="4"/>
  <c r="J18" i="4"/>
  <c r="I32" i="9"/>
  <c r="I16" i="9"/>
  <c r="J70" i="12"/>
  <c r="J65" i="12"/>
  <c r="J12" i="4"/>
  <c r="J39" i="12"/>
  <c r="J34" i="12"/>
  <c r="J40" i="12"/>
  <c r="J35" i="12"/>
  <c r="J26" i="4"/>
  <c r="J9" i="12"/>
  <c r="J58" i="12"/>
  <c r="J56" i="12"/>
  <c r="J28" i="12"/>
  <c r="J57" i="12"/>
  <c r="J7" i="12"/>
  <c r="J27" i="12"/>
  <c r="J59" i="12"/>
  <c r="J11" i="12"/>
  <c r="J24" i="4"/>
  <c r="J30" i="12"/>
  <c r="J11" i="4"/>
  <c r="J16" i="12"/>
  <c r="J8" i="12"/>
  <c r="J38" i="12"/>
  <c r="J33" i="12"/>
  <c r="J37" i="12" s="1"/>
  <c r="J41" i="12"/>
  <c r="J13" i="4"/>
  <c r="J19" i="12"/>
  <c r="J18" i="12"/>
  <c r="J15" i="4"/>
  <c r="I23" i="9"/>
  <c r="I25" i="9" s="1"/>
  <c r="I31" i="9" s="1"/>
  <c r="I34" i="9" s="1"/>
  <c r="I7" i="9"/>
  <c r="I9" i="9" s="1"/>
  <c r="I15" i="9" s="1"/>
  <c r="J71" i="12"/>
  <c r="J21" i="12"/>
  <c r="J72" i="12" s="1"/>
  <c r="J22" i="12"/>
  <c r="J17" i="4"/>
  <c r="J24" i="12"/>
  <c r="J25" i="12"/>
  <c r="D11" i="4"/>
  <c r="D16" i="12"/>
  <c r="J2" i="11"/>
  <c r="J3" i="11"/>
  <c r="I3" i="11"/>
  <c r="H3" i="11"/>
  <c r="G3" i="11"/>
  <c r="F3" i="11"/>
  <c r="E3" i="11"/>
  <c r="D3" i="11"/>
  <c r="E37" i="12" l="1"/>
  <c r="E36" i="12" s="1"/>
  <c r="E51" i="12"/>
  <c r="E50" i="12"/>
  <c r="E69" i="12"/>
  <c r="D37" i="12"/>
  <c r="D36" i="12"/>
  <c r="J36" i="12"/>
  <c r="I18" i="9"/>
  <c r="J83" i="12" s="1"/>
  <c r="J81" i="12"/>
  <c r="J51" i="12"/>
  <c r="J50" i="12"/>
  <c r="J69" i="12"/>
  <c r="J68" i="12"/>
  <c r="D51" i="12"/>
  <c r="D50" i="12"/>
  <c r="D69" i="12"/>
  <c r="I13" i="11"/>
  <c r="Q13" i="11" s="1"/>
  <c r="I11" i="11"/>
  <c r="Q11" i="11" s="1"/>
  <c r="H11" i="11"/>
  <c r="P11" i="11" s="1"/>
  <c r="G13" i="11"/>
  <c r="O13" i="11" s="1"/>
  <c r="G11" i="11"/>
  <c r="O11" i="11" s="1"/>
  <c r="F11" i="11"/>
  <c r="N11" i="11" s="1"/>
  <c r="E15" i="11"/>
  <c r="M15" i="11" s="1"/>
  <c r="E13" i="11"/>
  <c r="M13" i="11" s="1"/>
  <c r="D13" i="11"/>
  <c r="L13" i="11" s="1"/>
  <c r="E15" i="4" l="1"/>
  <c r="D7" i="9"/>
  <c r="D23" i="9"/>
  <c r="E71" i="12"/>
  <c r="E22" i="12"/>
  <c r="E21" i="12"/>
  <c r="G13" i="4"/>
  <c r="G19" i="12"/>
  <c r="G18" i="12"/>
  <c r="F11" i="4"/>
  <c r="F17" i="12"/>
  <c r="F16" i="12"/>
  <c r="F8" i="12"/>
  <c r="F41" i="12"/>
  <c r="F38" i="12"/>
  <c r="F33" i="12"/>
  <c r="F37" i="12" s="1"/>
  <c r="F36" i="12" s="1"/>
  <c r="G15" i="11"/>
  <c r="H11" i="4"/>
  <c r="H17" i="12"/>
  <c r="H16" i="12"/>
  <c r="H41" i="12"/>
  <c r="H38" i="12"/>
  <c r="H33" i="12"/>
  <c r="H37" i="12" s="1"/>
  <c r="H36" i="12" s="1"/>
  <c r="H8" i="12"/>
  <c r="I15" i="11"/>
  <c r="D13" i="4"/>
  <c r="D19" i="12"/>
  <c r="D18" i="12"/>
  <c r="F13" i="11"/>
  <c r="H13" i="11"/>
  <c r="I13" i="4"/>
  <c r="I19" i="12"/>
  <c r="I18" i="12"/>
  <c r="J20" i="12"/>
  <c r="E13" i="4"/>
  <c r="E20" i="12"/>
  <c r="E19" i="12"/>
  <c r="E18" i="12"/>
  <c r="G11" i="4"/>
  <c r="G17" i="12"/>
  <c r="G16" i="12"/>
  <c r="G33" i="12"/>
  <c r="G37" i="12" s="1"/>
  <c r="G36" i="12" s="1"/>
  <c r="G41" i="12"/>
  <c r="G38" i="12"/>
  <c r="G8" i="12"/>
  <c r="I11" i="4"/>
  <c r="I17" i="12"/>
  <c r="I16" i="12"/>
  <c r="I38" i="12"/>
  <c r="I41" i="12"/>
  <c r="I33" i="12"/>
  <c r="I37" i="12" s="1"/>
  <c r="I36" i="12" s="1"/>
  <c r="I8" i="12"/>
  <c r="J17" i="12"/>
  <c r="E17" i="11"/>
  <c r="D15" i="11"/>
  <c r="V25" i="6"/>
  <c r="V23" i="6"/>
  <c r="V22" i="6"/>
  <c r="V21" i="6"/>
  <c r="V20" i="6"/>
  <c r="V19" i="6"/>
  <c r="V18" i="6"/>
  <c r="V16" i="6"/>
  <c r="V14" i="6"/>
  <c r="V13" i="6"/>
  <c r="V12" i="6"/>
  <c r="V11" i="6"/>
  <c r="V10" i="6"/>
  <c r="V9" i="6"/>
  <c r="V8" i="6"/>
  <c r="U25" i="6"/>
  <c r="U23" i="6"/>
  <c r="U22" i="6"/>
  <c r="U21" i="6"/>
  <c r="U20" i="6"/>
  <c r="U19" i="6"/>
  <c r="U18" i="6"/>
  <c r="U16" i="6"/>
  <c r="U14" i="6"/>
  <c r="U13" i="6"/>
  <c r="U12" i="6"/>
  <c r="U11" i="6"/>
  <c r="U10" i="6"/>
  <c r="U9" i="6"/>
  <c r="U8" i="6"/>
  <c r="S25" i="6"/>
  <c r="S23" i="6"/>
  <c r="S22" i="6"/>
  <c r="S21" i="6"/>
  <c r="S20" i="6"/>
  <c r="S19" i="6"/>
  <c r="S18" i="6"/>
  <c r="S16" i="6"/>
  <c r="S14" i="6"/>
  <c r="S12" i="6"/>
  <c r="S11" i="6"/>
  <c r="S10" i="6"/>
  <c r="S9" i="6"/>
  <c r="S8" i="6"/>
  <c r="R25" i="6"/>
  <c r="R23" i="6"/>
  <c r="R22" i="6"/>
  <c r="R21" i="6"/>
  <c r="R20" i="6"/>
  <c r="R19" i="6"/>
  <c r="R18" i="6"/>
  <c r="R16" i="6"/>
  <c r="R14" i="6"/>
  <c r="R12" i="6"/>
  <c r="R11" i="6"/>
  <c r="R10" i="6"/>
  <c r="R9" i="6"/>
  <c r="R8" i="6"/>
  <c r="P25" i="6"/>
  <c r="P23" i="6"/>
  <c r="P22" i="6"/>
  <c r="P21" i="6"/>
  <c r="P20" i="6"/>
  <c r="P19" i="6"/>
  <c r="P18" i="6"/>
  <c r="P16" i="6"/>
  <c r="P14" i="6"/>
  <c r="P12" i="6"/>
  <c r="P11" i="6"/>
  <c r="P10" i="6"/>
  <c r="P9" i="6"/>
  <c r="P8" i="6"/>
  <c r="O25" i="6"/>
  <c r="O23" i="6"/>
  <c r="O22" i="6"/>
  <c r="O21" i="6"/>
  <c r="O20" i="6"/>
  <c r="O19" i="6"/>
  <c r="O18" i="6"/>
  <c r="O16" i="6"/>
  <c r="O14" i="6"/>
  <c r="O12" i="6"/>
  <c r="O11" i="6"/>
  <c r="O10" i="6"/>
  <c r="O9" i="6"/>
  <c r="O8" i="6"/>
  <c r="M25" i="6"/>
  <c r="M23" i="6"/>
  <c r="M22" i="6"/>
  <c r="M21" i="6"/>
  <c r="M20" i="6"/>
  <c r="M19" i="6"/>
  <c r="M18" i="6"/>
  <c r="M16" i="6"/>
  <c r="M14" i="6"/>
  <c r="M12" i="6"/>
  <c r="M11" i="6"/>
  <c r="M10" i="6"/>
  <c r="M9" i="6"/>
  <c r="M8" i="6"/>
  <c r="L25" i="6"/>
  <c r="L23" i="6"/>
  <c r="L22" i="6"/>
  <c r="L21" i="6"/>
  <c r="L20" i="6"/>
  <c r="L19" i="6"/>
  <c r="L18" i="6"/>
  <c r="L16" i="6"/>
  <c r="L14" i="6"/>
  <c r="L12" i="6"/>
  <c r="L11" i="6"/>
  <c r="L10" i="6"/>
  <c r="L9" i="6"/>
  <c r="L8" i="6"/>
  <c r="J25" i="6"/>
  <c r="J23" i="6"/>
  <c r="J22" i="6"/>
  <c r="J21" i="6"/>
  <c r="J20" i="6"/>
  <c r="J19" i="6"/>
  <c r="J18" i="6"/>
  <c r="J16" i="6"/>
  <c r="J14" i="6"/>
  <c r="J12" i="6"/>
  <c r="J11" i="6"/>
  <c r="J10" i="6"/>
  <c r="J9" i="6"/>
  <c r="J8" i="6"/>
  <c r="I25" i="6"/>
  <c r="I23" i="6"/>
  <c r="I22" i="6"/>
  <c r="I21" i="6"/>
  <c r="I20" i="6"/>
  <c r="I19" i="6"/>
  <c r="I18" i="6"/>
  <c r="I16" i="6"/>
  <c r="I14" i="6"/>
  <c r="I12" i="6"/>
  <c r="I11" i="6"/>
  <c r="I10" i="6"/>
  <c r="I9" i="6"/>
  <c r="I8" i="6"/>
  <c r="G25" i="6"/>
  <c r="G23" i="6"/>
  <c r="G22" i="6"/>
  <c r="G21" i="6"/>
  <c r="G20" i="6"/>
  <c r="G19" i="6"/>
  <c r="G18" i="6"/>
  <c r="G16" i="6"/>
  <c r="G14" i="6"/>
  <c r="G13" i="6"/>
  <c r="G12" i="6"/>
  <c r="G11" i="6"/>
  <c r="G10" i="6"/>
  <c r="G9" i="6"/>
  <c r="G8" i="6"/>
  <c r="F25" i="6"/>
  <c r="F23" i="6"/>
  <c r="F22" i="6"/>
  <c r="F21" i="6"/>
  <c r="F20" i="6"/>
  <c r="F19" i="6"/>
  <c r="F18" i="6"/>
  <c r="F16" i="6"/>
  <c r="F14" i="6"/>
  <c r="F13" i="6"/>
  <c r="F12" i="6"/>
  <c r="F11" i="6"/>
  <c r="F10" i="6"/>
  <c r="F9" i="6"/>
  <c r="F8" i="6"/>
  <c r="T26" i="6"/>
  <c r="T25" i="6"/>
  <c r="T24" i="6"/>
  <c r="T23" i="6"/>
  <c r="T22" i="6"/>
  <c r="T21" i="6"/>
  <c r="T20" i="6"/>
  <c r="T19" i="6"/>
  <c r="T18" i="6"/>
  <c r="T17" i="6"/>
  <c r="T16" i="6"/>
  <c r="T15" i="6"/>
  <c r="T14" i="6"/>
  <c r="T13" i="6"/>
  <c r="T12" i="6"/>
  <c r="T11" i="6"/>
  <c r="T10" i="6"/>
  <c r="T9" i="6"/>
  <c r="T8" i="6"/>
  <c r="Q8" i="6"/>
  <c r="Q9" i="6"/>
  <c r="Q10" i="6"/>
  <c r="Q11" i="6"/>
  <c r="Q12" i="6"/>
  <c r="Q13" i="6"/>
  <c r="Q14" i="6"/>
  <c r="Q16" i="6"/>
  <c r="Q18" i="6"/>
  <c r="Q19" i="6"/>
  <c r="Q20" i="6"/>
  <c r="Q21" i="6"/>
  <c r="Q22" i="6"/>
  <c r="Q23" i="6"/>
  <c r="Q25" i="6"/>
  <c r="N25" i="6"/>
  <c r="N23" i="6"/>
  <c r="N22" i="6"/>
  <c r="N21" i="6"/>
  <c r="N20" i="6"/>
  <c r="N19" i="6"/>
  <c r="N18" i="6"/>
  <c r="N16" i="6"/>
  <c r="N14" i="6"/>
  <c r="N12" i="6"/>
  <c r="N11" i="6"/>
  <c r="N10" i="6"/>
  <c r="N9" i="6"/>
  <c r="N8" i="6"/>
  <c r="K25" i="6"/>
  <c r="K23" i="6"/>
  <c r="K22" i="6"/>
  <c r="K21" i="6"/>
  <c r="K20" i="6"/>
  <c r="K19" i="6"/>
  <c r="K18" i="6"/>
  <c r="K16" i="6"/>
  <c r="K14" i="6"/>
  <c r="K13" i="6"/>
  <c r="K12" i="6"/>
  <c r="K11" i="6"/>
  <c r="K10" i="6"/>
  <c r="K9" i="6"/>
  <c r="K8" i="6"/>
  <c r="H25" i="6"/>
  <c r="H23" i="6"/>
  <c r="H22" i="6"/>
  <c r="H21" i="6"/>
  <c r="H20" i="6"/>
  <c r="H19" i="6"/>
  <c r="H18" i="6"/>
  <c r="H16" i="6"/>
  <c r="H14" i="6"/>
  <c r="H12" i="6"/>
  <c r="H11" i="6"/>
  <c r="H10" i="6"/>
  <c r="H9" i="6"/>
  <c r="H8" i="6"/>
  <c r="E25" i="6"/>
  <c r="E23" i="6"/>
  <c r="E22" i="6"/>
  <c r="E21" i="6"/>
  <c r="E20" i="6"/>
  <c r="E19" i="6"/>
  <c r="E18" i="6"/>
  <c r="E16" i="6"/>
  <c r="E15" i="6"/>
  <c r="E14" i="6"/>
  <c r="E13" i="6"/>
  <c r="E12" i="6"/>
  <c r="E11" i="6"/>
  <c r="E10" i="6"/>
  <c r="E9" i="6"/>
  <c r="E8" i="6"/>
  <c r="D25" i="6"/>
  <c r="D23" i="6"/>
  <c r="D22" i="6"/>
  <c r="D21" i="6"/>
  <c r="D20" i="6"/>
  <c r="D19" i="6"/>
  <c r="D18" i="6"/>
  <c r="D16" i="6"/>
  <c r="D14" i="6"/>
  <c r="D13" i="6"/>
  <c r="D12" i="6"/>
  <c r="D11" i="6"/>
  <c r="D10" i="6"/>
  <c r="D9" i="6"/>
  <c r="D8" i="6"/>
  <c r="Q15" i="11" l="1"/>
  <c r="I17" i="11"/>
  <c r="O15" i="11"/>
  <c r="G17" i="11"/>
  <c r="E72" i="12"/>
  <c r="E68" i="12"/>
  <c r="N13" i="11"/>
  <c r="F15" i="11"/>
  <c r="G69" i="12"/>
  <c r="G51" i="12"/>
  <c r="G50" i="12"/>
  <c r="H51" i="12"/>
  <c r="H69" i="12"/>
  <c r="H50" i="12"/>
  <c r="F51" i="12"/>
  <c r="F50" i="12"/>
  <c r="F69" i="12"/>
  <c r="I69" i="12"/>
  <c r="I50" i="12"/>
  <c r="I51" i="12"/>
  <c r="P13" i="11"/>
  <c r="H15" i="11"/>
  <c r="M17" i="11"/>
  <c r="E24" i="11"/>
  <c r="L15" i="11"/>
  <c r="D17" i="11"/>
  <c r="P15" i="11" l="1"/>
  <c r="H17" i="11"/>
  <c r="E24" i="12"/>
  <c r="E25" i="12"/>
  <c r="H13" i="4"/>
  <c r="H20" i="12"/>
  <c r="H18" i="12"/>
  <c r="H19" i="12"/>
  <c r="P13" i="6"/>
  <c r="S13" i="6"/>
  <c r="N13" i="6"/>
  <c r="R13" i="6"/>
  <c r="I20" i="12"/>
  <c r="O13" i="6"/>
  <c r="G15" i="4"/>
  <c r="F7" i="9"/>
  <c r="F23" i="9"/>
  <c r="G71" i="12"/>
  <c r="G22" i="12"/>
  <c r="G21" i="12"/>
  <c r="K15" i="6"/>
  <c r="Q17" i="11"/>
  <c r="I24" i="11"/>
  <c r="F13" i="4"/>
  <c r="F20" i="12"/>
  <c r="F18" i="12"/>
  <c r="F19" i="12"/>
  <c r="G20" i="12"/>
  <c r="H13" i="6"/>
  <c r="L13" i="6"/>
  <c r="J13" i="6"/>
  <c r="I13" i="6"/>
  <c r="M13" i="6"/>
  <c r="O17" i="11"/>
  <c r="G24" i="11"/>
  <c r="D21" i="12"/>
  <c r="D71" i="12"/>
  <c r="D22" i="12"/>
  <c r="E23" i="12"/>
  <c r="N15" i="11"/>
  <c r="M15" i="6" s="1"/>
  <c r="F17" i="11"/>
  <c r="I15" i="4"/>
  <c r="H7" i="9"/>
  <c r="H9" i="9" s="1"/>
  <c r="H15" i="9" s="1"/>
  <c r="H23" i="9"/>
  <c r="H25" i="9" s="1"/>
  <c r="H31" i="9" s="1"/>
  <c r="H34" i="9" s="1"/>
  <c r="H36" i="9" s="1"/>
  <c r="I71" i="12"/>
  <c r="I23" i="12"/>
  <c r="I22" i="12"/>
  <c r="I21" i="12"/>
  <c r="J23" i="12"/>
  <c r="R15" i="6"/>
  <c r="Q15" i="6"/>
  <c r="V15" i="6"/>
  <c r="S15" i="6"/>
  <c r="U15" i="6"/>
  <c r="R70" i="11"/>
  <c r="M24" i="11"/>
  <c r="E30" i="12" s="1"/>
  <c r="E26" i="11"/>
  <c r="E17" i="4"/>
  <c r="E17" i="6"/>
  <c r="L17" i="11"/>
  <c r="D24" i="11"/>
  <c r="D15" i="4"/>
  <c r="F15" i="6"/>
  <c r="G15" i="6"/>
  <c r="D15" i="6"/>
  <c r="J60" i="12" l="1"/>
  <c r="I35" i="9"/>
  <c r="I19" i="9"/>
  <c r="J53" i="12"/>
  <c r="I72" i="12"/>
  <c r="I68" i="12"/>
  <c r="D24" i="12"/>
  <c r="D25" i="12"/>
  <c r="I53" i="12"/>
  <c r="H18" i="9"/>
  <c r="I81" i="12"/>
  <c r="O24" i="11"/>
  <c r="G26" i="11"/>
  <c r="Q24" i="11"/>
  <c r="I26" i="11"/>
  <c r="E26" i="12"/>
  <c r="G17" i="4"/>
  <c r="G25" i="12"/>
  <c r="G24" i="12"/>
  <c r="K17" i="6"/>
  <c r="I17" i="4"/>
  <c r="I25" i="12"/>
  <c r="I24" i="12"/>
  <c r="J26" i="12"/>
  <c r="V17" i="6"/>
  <c r="U17" i="6"/>
  <c r="Q17" i="6"/>
  <c r="G72" i="12"/>
  <c r="G68" i="12"/>
  <c r="P17" i="11"/>
  <c r="S17" i="6" s="1"/>
  <c r="H24" i="11"/>
  <c r="F15" i="4"/>
  <c r="E23" i="9"/>
  <c r="E7" i="9"/>
  <c r="F71" i="12"/>
  <c r="F23" i="12"/>
  <c r="F21" i="12"/>
  <c r="F22" i="12"/>
  <c r="J15" i="6"/>
  <c r="I15" i="6"/>
  <c r="H15" i="6"/>
  <c r="D68" i="12"/>
  <c r="D72" i="12"/>
  <c r="G23" i="12"/>
  <c r="D24" i="9"/>
  <c r="D25" i="9" s="1"/>
  <c r="D31" i="9" s="1"/>
  <c r="D34" i="9" s="1"/>
  <c r="D36" i="9" s="1"/>
  <c r="D8" i="9"/>
  <c r="D9" i="9" s="1"/>
  <c r="D15" i="9" s="1"/>
  <c r="N17" i="11"/>
  <c r="F24" i="11"/>
  <c r="L15" i="6"/>
  <c r="H15" i="4"/>
  <c r="G7" i="9"/>
  <c r="G23" i="9"/>
  <c r="H71" i="12"/>
  <c r="H23" i="12"/>
  <c r="H22" i="12"/>
  <c r="H21" i="12"/>
  <c r="O15" i="6"/>
  <c r="N15" i="6"/>
  <c r="P15" i="6"/>
  <c r="I20" i="9"/>
  <c r="I36" i="9"/>
  <c r="J61" i="12"/>
  <c r="M26" i="11"/>
  <c r="E2" i="11"/>
  <c r="E24" i="4"/>
  <c r="E24" i="6"/>
  <c r="L24" i="11"/>
  <c r="D30" i="12" s="1"/>
  <c r="D26" i="11"/>
  <c r="D17" i="4"/>
  <c r="G17" i="6"/>
  <c r="D17" i="6"/>
  <c r="F17" i="6"/>
  <c r="G24" i="4" l="1"/>
  <c r="G30" i="12"/>
  <c r="K24" i="6"/>
  <c r="E28" i="12"/>
  <c r="E27" i="12"/>
  <c r="F62" i="12" s="1"/>
  <c r="E56" i="12"/>
  <c r="E7" i="12"/>
  <c r="E11" i="12"/>
  <c r="E58" i="12"/>
  <c r="E57" i="12"/>
  <c r="E59" i="12"/>
  <c r="E9" i="12"/>
  <c r="H72" i="12"/>
  <c r="H68" i="12"/>
  <c r="F72" i="12"/>
  <c r="F68" i="12"/>
  <c r="R17" i="6"/>
  <c r="N24" i="11"/>
  <c r="F26" i="11"/>
  <c r="Q26" i="11"/>
  <c r="I2" i="11"/>
  <c r="J82" i="12"/>
  <c r="F17" i="4"/>
  <c r="F26" i="12"/>
  <c r="F25" i="12"/>
  <c r="F24" i="12"/>
  <c r="H17" i="6"/>
  <c r="I17" i="6"/>
  <c r="J17" i="6"/>
  <c r="P24" i="11"/>
  <c r="R24" i="6" s="1"/>
  <c r="H26" i="11"/>
  <c r="M17" i="6"/>
  <c r="G26" i="12"/>
  <c r="V24" i="6"/>
  <c r="S24" i="6"/>
  <c r="Q24" i="6"/>
  <c r="I30" i="12"/>
  <c r="I24" i="4"/>
  <c r="U24" i="6"/>
  <c r="H20" i="9"/>
  <c r="I83" i="12"/>
  <c r="E53" i="12"/>
  <c r="E81" i="12"/>
  <c r="D18" i="9"/>
  <c r="H17" i="4"/>
  <c r="H26" i="12"/>
  <c r="H24" i="12"/>
  <c r="H25" i="12"/>
  <c r="P17" i="6"/>
  <c r="O17" i="6"/>
  <c r="N17" i="6"/>
  <c r="I26" i="12"/>
  <c r="L17" i="6"/>
  <c r="O26" i="11"/>
  <c r="G2" i="11"/>
  <c r="J85" i="12"/>
  <c r="J52" i="12"/>
  <c r="E26" i="4"/>
  <c r="E26" i="6"/>
  <c r="L26" i="11"/>
  <c r="E29" i="12" s="1"/>
  <c r="D2" i="11"/>
  <c r="D24" i="4"/>
  <c r="F24" i="6"/>
  <c r="G24" i="6"/>
  <c r="D24" i="6"/>
  <c r="I85" i="12" l="1"/>
  <c r="I52" i="12"/>
  <c r="F24" i="4"/>
  <c r="F30" i="12"/>
  <c r="H24" i="6"/>
  <c r="J24" i="6"/>
  <c r="I24" i="6"/>
  <c r="M24" i="6"/>
  <c r="G26" i="4"/>
  <c r="G56" i="12"/>
  <c r="G7" i="12"/>
  <c r="G28" i="12"/>
  <c r="G27" i="12"/>
  <c r="H62" i="12" s="1"/>
  <c r="G59" i="12"/>
  <c r="G57" i="12"/>
  <c r="G11" i="12"/>
  <c r="G9" i="12"/>
  <c r="G58" i="12"/>
  <c r="K26" i="6"/>
  <c r="D20" i="9"/>
  <c r="E83" i="12"/>
  <c r="P26" i="11"/>
  <c r="R26" i="6" s="1"/>
  <c r="H2" i="11"/>
  <c r="J29" i="12"/>
  <c r="I28" i="12"/>
  <c r="I59" i="12"/>
  <c r="V26" i="6"/>
  <c r="I26" i="4"/>
  <c r="I9" i="12"/>
  <c r="U26" i="6"/>
  <c r="I56" i="12"/>
  <c r="I11" i="12"/>
  <c r="I58" i="12"/>
  <c r="I7" i="12"/>
  <c r="I27" i="12"/>
  <c r="J62" i="12" s="1"/>
  <c r="I57" i="12"/>
  <c r="Q26" i="6"/>
  <c r="F24" i="9"/>
  <c r="F25" i="9" s="1"/>
  <c r="F31" i="9" s="1"/>
  <c r="F34" i="9" s="1"/>
  <c r="F36" i="9" s="1"/>
  <c r="F8" i="9"/>
  <c r="F9" i="9" s="1"/>
  <c r="F15" i="9" s="1"/>
  <c r="D7" i="12"/>
  <c r="D28" i="12"/>
  <c r="D27" i="12"/>
  <c r="E62" i="12" s="1"/>
  <c r="D56" i="12"/>
  <c r="D11" i="12"/>
  <c r="D59" i="12"/>
  <c r="D58" i="12"/>
  <c r="D9" i="12"/>
  <c r="D57" i="12"/>
  <c r="J86" i="12"/>
  <c r="J84" i="12"/>
  <c r="H24" i="4"/>
  <c r="H30" i="12"/>
  <c r="O24" i="6"/>
  <c r="N24" i="6"/>
  <c r="P24" i="6"/>
  <c r="N26" i="11"/>
  <c r="L26" i="6" s="1"/>
  <c r="F2" i="11"/>
  <c r="L24" i="6"/>
  <c r="D26" i="4"/>
  <c r="F26" i="6"/>
  <c r="G26" i="6"/>
  <c r="D26" i="6"/>
  <c r="G53" i="12" l="1"/>
  <c r="F18" i="9"/>
  <c r="G81" i="12"/>
  <c r="S26" i="6"/>
  <c r="I29" i="12"/>
  <c r="E8" i="9"/>
  <c r="E9" i="9" s="1"/>
  <c r="E15" i="9" s="1"/>
  <c r="E24" i="9"/>
  <c r="E25" i="9" s="1"/>
  <c r="E31" i="9" s="1"/>
  <c r="E34" i="9" s="1"/>
  <c r="E36" i="9" s="1"/>
  <c r="F26" i="4"/>
  <c r="F29" i="12"/>
  <c r="F27" i="12"/>
  <c r="G62" i="12" s="1"/>
  <c r="F28" i="12"/>
  <c r="F56" i="12"/>
  <c r="F7" i="12"/>
  <c r="F59" i="12"/>
  <c r="F58" i="12"/>
  <c r="F9" i="12"/>
  <c r="F11" i="12"/>
  <c r="F57" i="12"/>
  <c r="H26" i="6"/>
  <c r="I26" i="6"/>
  <c r="J26" i="6"/>
  <c r="G24" i="9"/>
  <c r="G25" i="9" s="1"/>
  <c r="G31" i="9" s="1"/>
  <c r="G34" i="9" s="1"/>
  <c r="G36" i="9" s="1"/>
  <c r="G8" i="9"/>
  <c r="G9" i="9" s="1"/>
  <c r="G15" i="9" s="1"/>
  <c r="E52" i="12"/>
  <c r="E85" i="12"/>
  <c r="M26" i="6"/>
  <c r="G29" i="12"/>
  <c r="H26" i="4"/>
  <c r="H29" i="12"/>
  <c r="H7" i="12"/>
  <c r="H28" i="12"/>
  <c r="H27" i="12"/>
  <c r="I62" i="12" s="1"/>
  <c r="H56" i="12"/>
  <c r="H11" i="12"/>
  <c r="H59" i="12"/>
  <c r="H9" i="12"/>
  <c r="H57" i="12"/>
  <c r="H58" i="12"/>
  <c r="P26" i="6"/>
  <c r="O26" i="6"/>
  <c r="N26" i="6"/>
  <c r="H53" i="12" l="1"/>
  <c r="H81" i="12"/>
  <c r="G18" i="9"/>
  <c r="G82" i="12"/>
  <c r="F53" i="12"/>
  <c r="F81" i="12"/>
  <c r="F82" i="12" s="1"/>
  <c r="E18" i="9"/>
  <c r="F20" i="9"/>
  <c r="G83" i="12"/>
  <c r="F83" i="12" l="1"/>
  <c r="F84" i="12" s="1"/>
  <c r="E20" i="9"/>
  <c r="H82" i="12"/>
  <c r="I82" i="12"/>
  <c r="G52" i="12"/>
  <c r="G85" i="12"/>
  <c r="G20" i="9"/>
  <c r="H83" i="12"/>
  <c r="G84" i="12"/>
  <c r="H84" i="12" l="1"/>
  <c r="I84" i="12"/>
  <c r="H52" i="12"/>
  <c r="H85" i="12"/>
  <c r="F85" i="12"/>
  <c r="F86" i="12" s="1"/>
  <c r="F52" i="12"/>
  <c r="H86" i="12" l="1"/>
  <c r="I86" i="12"/>
  <c r="G86" i="12"/>
</calcChain>
</file>

<file path=xl/sharedStrings.xml><?xml version="1.0" encoding="utf-8"?>
<sst xmlns="http://schemas.openxmlformats.org/spreadsheetml/2006/main" count="374" uniqueCount="162">
  <si>
    <t>Verificación</t>
  </si>
  <si>
    <t>DATA</t>
  </si>
  <si>
    <t>Moneda de reporte</t>
  </si>
  <si>
    <t>en COP millones a 31 de diciembre</t>
  </si>
  <si>
    <t>en USD millones a 31 de diciembre</t>
  </si>
  <si>
    <t>Tasa de Cambio</t>
  </si>
  <si>
    <t>ESTADO INTEGRAL DE RESULTADOS</t>
  </si>
  <si>
    <t>Ventas Brutas</t>
  </si>
  <si>
    <t>(Devoluciones, Rebajas y Descuentos)</t>
  </si>
  <si>
    <t>Otros Ingresos Operacionales</t>
  </si>
  <si>
    <t>Ventas Netas</t>
  </si>
  <si>
    <t>Costo de Ventas</t>
  </si>
  <si>
    <t>Utilidad Bruta</t>
  </si>
  <si>
    <t>Gastos Operacionales</t>
  </si>
  <si>
    <t>EBITDA</t>
  </si>
  <si>
    <t>Depreciación y Amortización</t>
  </si>
  <si>
    <t>Utilidad Operacional</t>
  </si>
  <si>
    <t>Gasto de Intereses</t>
  </si>
  <si>
    <t>Otros Ingresos / (Egresos) Financieros</t>
  </si>
  <si>
    <t>Otros Ingresos / (Egresos) No Operacionales</t>
  </si>
  <si>
    <t>Utilidad / (Pérdida) en Venta de Activos</t>
  </si>
  <si>
    <t>Utilidad / (Pérdida) por Diferencia en Cambio</t>
  </si>
  <si>
    <t>Resultado Atribuible a Participaciones no Controladoras</t>
  </si>
  <si>
    <t>Utilidad Neta antes de Impuestos</t>
  </si>
  <si>
    <t>Provisión Impuesto a la Renta</t>
  </si>
  <si>
    <t>Utilidad Neta del Ejercicio</t>
  </si>
  <si>
    <t>ESTADO DE SITUACIÓN FINANCIERA</t>
  </si>
  <si>
    <t>ACTIVO</t>
  </si>
  <si>
    <t>Disponible y equivalentes</t>
  </si>
  <si>
    <t>Cuentas por cobrar - Clientes</t>
  </si>
  <si>
    <t>Deterioro acumulado de Cartera</t>
  </si>
  <si>
    <t>Inventario Neto</t>
  </si>
  <si>
    <t>Otros Activos Corrientes</t>
  </si>
  <si>
    <t>ACTIVO CORRIENTE</t>
  </si>
  <si>
    <t>Activo Fijo - Neto</t>
  </si>
  <si>
    <t>Activo Diferido</t>
  </si>
  <si>
    <t>Intangibles y Valorizaciones</t>
  </si>
  <si>
    <t>Inversiones Permanentes</t>
  </si>
  <si>
    <t>Otros Activos Largo Plazo</t>
  </si>
  <si>
    <t>TOTAL ACTIVO</t>
  </si>
  <si>
    <t>PASIVO</t>
  </si>
  <si>
    <t>Cuentas por Pagar a Proveedores</t>
  </si>
  <si>
    <t>Obligaciones Financieras - Corto Plazo</t>
  </si>
  <si>
    <t>Porción Corriente de Deuda Financiera de LP</t>
  </si>
  <si>
    <t>Dividendos por pagar</t>
  </si>
  <si>
    <t>Intereses por pagar</t>
  </si>
  <si>
    <t>Otros Pasivos Corrientes</t>
  </si>
  <si>
    <t>PASIVO CORRIENTE</t>
  </si>
  <si>
    <t>Obligaciones Financieras - Largo Plazo</t>
  </si>
  <si>
    <t>Otros Pasivos de Largo Plazo</t>
  </si>
  <si>
    <t>PASIVO A LARGO PLAZO</t>
  </si>
  <si>
    <t>TOTAL PASIVO</t>
  </si>
  <si>
    <t>PATRIMONIO</t>
  </si>
  <si>
    <t>Capital Pagado</t>
  </si>
  <si>
    <t>Prima en Colocación de Acciones</t>
  </si>
  <si>
    <t>Revalorizaciones e Interés Minoritario</t>
  </si>
  <si>
    <t>Reservas y Utilidades Retenidas</t>
  </si>
  <si>
    <t>TOTAL PATRIMONIO</t>
  </si>
  <si>
    <t>TOTAL PASIVO + PATRIMONIO</t>
  </si>
  <si>
    <t>Datos que van al Flujo de Caja</t>
  </si>
  <si>
    <t>Impuestos Pagados</t>
  </si>
  <si>
    <t>CAPEX</t>
  </si>
  <si>
    <t>Dividendos Pagados</t>
  </si>
  <si>
    <t>en COP a 31 de diciembre</t>
  </si>
  <si>
    <t>en COP miles a 31 de diciembre</t>
  </si>
  <si>
    <t>en USD a 31 de diciembre</t>
  </si>
  <si>
    <t>en USD miles a 31 de diciembre</t>
  </si>
  <si>
    <t>Ingresos Operacionales</t>
  </si>
  <si>
    <t>RESUMEN EJECUTIVO</t>
  </si>
  <si>
    <t>Preparado por:</t>
  </si>
  <si>
    <t>Auditor:</t>
  </si>
  <si>
    <t>DuPont</t>
  </si>
  <si>
    <t>Rentabilidad de las Ventas (ROS)</t>
  </si>
  <si>
    <t>Rotación de Activos Totales (RAT / ATO)</t>
  </si>
  <si>
    <t>Rentabilidad del Activo Total (ROA)</t>
  </si>
  <si>
    <t>Multiplicador de Capital</t>
  </si>
  <si>
    <t>Rentabilidad del Patrimonio (ROE)</t>
  </si>
  <si>
    <t>Operación</t>
  </si>
  <si>
    <t>Variación Ventas Netas</t>
  </si>
  <si>
    <t>Margen Bruto %</t>
  </si>
  <si>
    <t>Variación Utilidad Bruta</t>
  </si>
  <si>
    <t>Margen EBITDA %</t>
  </si>
  <si>
    <t>Variación EBITDA</t>
  </si>
  <si>
    <t>Margen Operacional %</t>
  </si>
  <si>
    <t>Variación Utilidad Operacional</t>
  </si>
  <si>
    <t>Margen Neto % (ROS)</t>
  </si>
  <si>
    <t>Variación Utilidad Neta del Ejercicio</t>
  </si>
  <si>
    <t>Tasa Efectiva de Impuestos</t>
  </si>
  <si>
    <t>Actividad</t>
  </si>
  <si>
    <t>Días Promedio Cartera</t>
  </si>
  <si>
    <t>Días Promedio Inventario</t>
  </si>
  <si>
    <t>Días Promedio Pago a Proveedores</t>
  </si>
  <si>
    <t>Ciclo de Conversión de Efectivo</t>
  </si>
  <si>
    <t>Ciclo de Operación</t>
  </si>
  <si>
    <t>Rotación Cartera</t>
  </si>
  <si>
    <t>Rotación Inventario</t>
  </si>
  <si>
    <t>Rotación Proveedores</t>
  </si>
  <si>
    <t>Liquidez</t>
  </si>
  <si>
    <t>Razón Corriente</t>
  </si>
  <si>
    <t>Prueba Acida</t>
  </si>
  <si>
    <t>Prueba Super Acida</t>
  </si>
  <si>
    <t>Capital de Trabajo</t>
  </si>
  <si>
    <t>Capital de Trabajo Operativo</t>
  </si>
  <si>
    <t>Variación Capital de Trabajo Operativo</t>
  </si>
  <si>
    <t>Capital de Trabajo / Ventas Netas</t>
  </si>
  <si>
    <t>Capital de Trabajo Operativo / Ventas Netas</t>
  </si>
  <si>
    <t>FCDR / EBITDA</t>
  </si>
  <si>
    <t>Rentabilidad</t>
  </si>
  <si>
    <t>Rentabilidad del Activo Fijo (ROFA)</t>
  </si>
  <si>
    <t>Variación de Dividendos Pagados</t>
  </si>
  <si>
    <t>Factor de Distribución de Dividendos %</t>
  </si>
  <si>
    <t>Endeudamiento y Estructura de Capital</t>
  </si>
  <si>
    <t>Total Deuda Financiera (TDF)</t>
  </si>
  <si>
    <t>Variación TDF</t>
  </si>
  <si>
    <t>Nivel de Endeudamiento Financiero - TDF / EBITDA</t>
  </si>
  <si>
    <t>Nivel de Endeudamiento Financiero - TDF / Ventas</t>
  </si>
  <si>
    <t>Costo Promedio de la Deuda Financiera</t>
  </si>
  <si>
    <t>Cubrimiento de Intereses</t>
  </si>
  <si>
    <t>Cubrimiento Servicio de la Deuda (CSD)</t>
  </si>
  <si>
    <t>Nivel de Endeudamiento Total (NET)</t>
  </si>
  <si>
    <t>Concentración del Endeudamiento</t>
  </si>
  <si>
    <t>Apalancamiento Financiero</t>
  </si>
  <si>
    <t>Apalancamiento Total</t>
  </si>
  <si>
    <t>Datos del Flujo de Caja</t>
  </si>
  <si>
    <t>Variación CAPEX</t>
  </si>
  <si>
    <t>Flujo de Caja Libre</t>
  </si>
  <si>
    <t>Variación del Flujo de Caja Libre</t>
  </si>
  <si>
    <t>Flujo de Caja Disponible para el Accionista</t>
  </si>
  <si>
    <t>Variación del Flujo de Caja Disponible para el Accionista</t>
  </si>
  <si>
    <t>Flujo de Caja Disponible para Reinversión</t>
  </si>
  <si>
    <t>Variación del Flujo de Caja Disponible para Reinversión</t>
  </si>
  <si>
    <t>Espacio para el profesor - Diligenciar únicamente los espacios indicados</t>
  </si>
  <si>
    <t>Utilidad Neta</t>
  </si>
  <si>
    <t>qL3O98</t>
  </si>
  <si>
    <t>Smurfit Kapppa</t>
  </si>
  <si>
    <t>AV</t>
  </si>
  <si>
    <t>AH (%)</t>
  </si>
  <si>
    <t>AH ($)</t>
  </si>
  <si>
    <t xml:space="preserve">Tatiana Callejas Ramirez </t>
  </si>
  <si>
    <t>GRUPO H</t>
  </si>
  <si>
    <t xml:space="preserve">ESTADO DE SITUACION FINANCIERA </t>
  </si>
  <si>
    <t>ESTADO INTEGRAL DE RESULTADOS COMPARATIVO</t>
  </si>
  <si>
    <t>ESTADO DE SITUACION FINANCIERA COMPARATIVO</t>
  </si>
  <si>
    <t>ta</t>
  </si>
  <si>
    <t xml:space="preserve">Impuestos Pagados </t>
  </si>
  <si>
    <t xml:space="preserve">Flujo de Caja Operativo </t>
  </si>
  <si>
    <t xml:space="preserve">Inversion en Capital de Trabajo </t>
  </si>
  <si>
    <t>Cuentas por Cobrar - Clientes</t>
  </si>
  <si>
    <t xml:space="preserve">Inventario </t>
  </si>
  <si>
    <t xml:space="preserve">Cuentas por Pagar a Proveedores </t>
  </si>
  <si>
    <t xml:space="preserve">CAPEX </t>
  </si>
  <si>
    <t xml:space="preserve">Flujo de Caja Libre </t>
  </si>
  <si>
    <t>Gasto de Interes</t>
  </si>
  <si>
    <t xml:space="preserve">Porcion Corriente DFLP </t>
  </si>
  <si>
    <t xml:space="preserve">Flujo de Caja Disponible para el Accionista </t>
  </si>
  <si>
    <t xml:space="preserve">Flujo de Caja Disponible para Reinversion </t>
  </si>
  <si>
    <t xml:space="preserve">FLUJO DE CAJA </t>
  </si>
  <si>
    <t>NA</t>
  </si>
  <si>
    <t>MODELO 1</t>
  </si>
  <si>
    <t>MODELO 2</t>
  </si>
  <si>
    <t>FCL / Servicio a Terceros</t>
  </si>
  <si>
    <t xml:space="preserve">Variación Deuda Financiera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</si>
</sst>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2" formatCode="_-&quot;$&quot;* #,##0_-;\-&quot;$&quot;* #,##0_-;_-&quot;$&quot;* &quot;-&quot;_-;_-@_-"/>
    <numFmt numFmtId="164" formatCode="_(* #,##0.00_);_(* \(#,##0.00\);_(* &quot;-&quot;??_);_(@_)"/>
    <numFmt numFmtId="165" formatCode="_(* #,##0_);_(* \(#,##0\);_(* &quot;-&quot;??_);_(@_)"/>
    <numFmt numFmtId="166" formatCode="0.0%"/>
    <numFmt numFmtId="167" formatCode="[$-409]d\-mmm\-yy;@"/>
    <numFmt numFmtId="168" formatCode="_(&quot;€&quot;\ * #,##0.00_);_(&quot;€&quot;\ * \(#,##0.00\);_(&quot;€&quot;\ * &quot;-&quot;??_);_(@_)"/>
    <numFmt numFmtId="169" formatCode="#,##0.00&quot; x&quot;"/>
    <numFmt numFmtId="170" formatCode="_-[$$-240A]\ * #,##0_-;\-[$$-240A]\ * #,##0_-;_-[$$-240A]\ * &quot;-&quot;??_-;_-@_-"/>
    <numFmt numFmtId="171" formatCode="#,##0&quot; días&quot;"/>
    <numFmt numFmtId="172" formatCode="_(&quot;€&quot;\ * #,##0_);_(&quot;€&quot;\ * \(#,##0\);_(&quot;€&quot;\ * &quot;-&quot;??_);_(@_)"/>
    <numFmt numFmtId="173" formatCode="&quot;$&quot;#,##0"/>
    <numFmt numFmtId="174" formatCode="&quot;$&quot;#,##0.00"/>
    <numFmt numFmtId="175" formatCode="0.00\ &quot;x&quot;"/>
  </numFmts>
  <fonts count="23" x14ac:knownFonts="1">
    <font>
      <sz val="11"/>
      <color theme="1"/>
      <name val="Calibri"/>
      <family val="2"/>
    </font>
    <font>
      <sz val="9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9"/>
      <name val="Arial"/>
      <family val="2"/>
    </font>
    <font>
      <sz val="12"/>
      <color theme="0"/>
      <name val="Calibri"/>
      <family val="2"/>
      <scheme val="minor"/>
    </font>
    <font>
      <sz val="9"/>
      <name val="Arial"/>
      <family val="2"/>
    </font>
    <font>
      <sz val="12"/>
      <name val="Leelawadee"/>
      <family val="2"/>
    </font>
    <font>
      <b/>
      <sz val="16"/>
      <color theme="0"/>
      <name val="Leelawadee"/>
      <family val="2"/>
    </font>
    <font>
      <b/>
      <sz val="12"/>
      <name val="Leelawadee"/>
      <family val="2"/>
    </font>
    <font>
      <b/>
      <sz val="11"/>
      <name val="Leelawadee"/>
      <family val="2"/>
    </font>
    <font>
      <b/>
      <sz val="12"/>
      <color theme="0"/>
      <name val="Leelawadee"/>
      <family val="2"/>
    </font>
    <font>
      <b/>
      <sz val="14"/>
      <name val="Leelawadee"/>
      <family val="2"/>
    </font>
    <font>
      <b/>
      <sz val="14"/>
      <color theme="0"/>
      <name val="Leelawadee"/>
      <family val="2"/>
    </font>
    <font>
      <b/>
      <sz val="16"/>
      <name val="Leelawadee"/>
      <family val="2"/>
    </font>
    <font>
      <sz val="11"/>
      <color theme="0"/>
      <name val="Calibri"/>
      <family val="2"/>
    </font>
    <font>
      <sz val="11"/>
      <color theme="1"/>
      <name val="Calibri"/>
      <family val="2"/>
    </font>
    <font>
      <sz val="11"/>
      <color theme="1"/>
      <name val="Leelawadee"/>
      <family val="2"/>
    </font>
    <font>
      <sz val="12"/>
      <color theme="1"/>
      <name val="Leelawadee"/>
      <family val="2"/>
    </font>
    <font>
      <b/>
      <sz val="14"/>
      <color theme="1"/>
      <name val="Leelawadee"/>
      <family val="2"/>
    </font>
    <font>
      <b/>
      <sz val="12"/>
      <color theme="1"/>
      <name val="Leelawadee"/>
      <family val="2"/>
    </font>
    <font>
      <b/>
      <sz val="11"/>
      <color theme="1"/>
      <name val="Calibri"/>
      <family val="2"/>
    </font>
    <font>
      <sz val="12"/>
      <color rgb="FFFF0000"/>
      <name val="Leelawadee"/>
      <family val="2"/>
    </font>
  </fonts>
  <fills count="2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33AF36"/>
        <bgColor indexed="64"/>
      </patternFill>
    </fill>
    <fill>
      <patternFill patternType="solid">
        <fgColor rgb="FFE2A700"/>
        <bgColor indexed="64"/>
      </patternFill>
    </fill>
    <fill>
      <patternFill patternType="solid">
        <fgColor rgb="FFED7C2F"/>
        <bgColor indexed="64"/>
      </patternFill>
    </fill>
    <fill>
      <patternFill patternType="solid">
        <fgColor rgb="FF916A37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99FF"/>
        <bgColor indexed="64"/>
      </patternFill>
    </fill>
  </fills>
  <borders count="1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ashed">
        <color indexed="64"/>
      </left>
      <right style="dashed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dashed">
        <color indexed="64"/>
      </left>
      <right style="dashed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ashed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ashed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ouble">
        <color indexed="64"/>
      </bottom>
      <diagonal/>
    </border>
    <border>
      <left style="dashed">
        <color indexed="64"/>
      </left>
      <right/>
      <top style="thin">
        <color indexed="64"/>
      </top>
      <bottom style="double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/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/>
      <diagonal/>
    </border>
    <border>
      <left/>
      <right style="dashed">
        <color indexed="64"/>
      </right>
      <top style="medium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/>
      <right style="dashed">
        <color indexed="64"/>
      </right>
      <top/>
      <bottom style="double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ashed">
        <color indexed="64"/>
      </right>
      <top/>
      <bottom style="double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ashed">
        <color indexed="64"/>
      </right>
      <top style="double">
        <color indexed="64"/>
      </top>
      <bottom style="double">
        <color indexed="64"/>
      </bottom>
      <diagonal/>
    </border>
    <border>
      <left/>
      <right style="dashed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double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dashed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6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42" fontId="16" fillId="0" borderId="0" applyFont="0" applyFill="0" applyBorder="0" applyAlignment="0" applyProtection="0"/>
  </cellStyleXfs>
  <cellXfs count="527">
    <xf numFmtId="0" fontId="0" fillId="0" borderId="0" xfId="0"/>
    <xf numFmtId="0" fontId="0" fillId="0" borderId="0" xfId="0" quotePrefix="1"/>
    <xf numFmtId="0" fontId="2" fillId="0" borderId="0" xfId="1" applyFont="1"/>
    <xf numFmtId="0" fontId="2" fillId="0" borderId="0" xfId="1" applyFont="1" applyAlignment="1">
      <alignment vertical="center"/>
    </xf>
    <xf numFmtId="0" fontId="3" fillId="0" borderId="0" xfId="1" applyFont="1"/>
    <xf numFmtId="0" fontId="3" fillId="0" borderId="0" xfId="1" applyFont="1" applyAlignment="1">
      <alignment vertical="center"/>
    </xf>
    <xf numFmtId="165" fontId="3" fillId="0" borderId="0" xfId="2" applyNumberFormat="1" applyFont="1"/>
    <xf numFmtId="165" fontId="3" fillId="0" borderId="0" xfId="1" applyNumberFormat="1" applyFont="1"/>
    <xf numFmtId="0" fontId="3" fillId="0" borderId="0" xfId="1" applyFont="1" applyAlignment="1">
      <alignment horizontal="left" indent="1"/>
    </xf>
    <xf numFmtId="165" fontId="3" fillId="0" borderId="0" xfId="1" applyNumberFormat="1" applyFont="1" applyAlignment="1">
      <alignment horizontal="left" indent="1"/>
    </xf>
    <xf numFmtId="0" fontId="5" fillId="0" borderId="0" xfId="1" applyFont="1"/>
    <xf numFmtId="165" fontId="5" fillId="0" borderId="0" xfId="2" applyNumberFormat="1" applyFont="1"/>
    <xf numFmtId="164" fontId="3" fillId="0" borderId="0" xfId="2" applyFont="1"/>
    <xf numFmtId="0" fontId="7" fillId="4" borderId="0" xfId="4" applyFont="1" applyFill="1" applyAlignment="1">
      <alignment vertical="center"/>
    </xf>
    <xf numFmtId="0" fontId="7" fillId="4" borderId="0" xfId="4" applyFont="1" applyFill="1"/>
    <xf numFmtId="0" fontId="9" fillId="4" borderId="21" xfId="4" applyFont="1" applyFill="1" applyBorder="1"/>
    <xf numFmtId="167" fontId="10" fillId="4" borderId="23" xfId="4" applyNumberFormat="1" applyFont="1" applyFill="1" applyBorder="1" applyAlignment="1">
      <alignment horizontal="center" vertical="center" wrapText="1"/>
    </xf>
    <xf numFmtId="164" fontId="10" fillId="4" borderId="23" xfId="5" applyFont="1" applyFill="1" applyBorder="1" applyAlignment="1">
      <alignment horizontal="center" vertical="center" wrapText="1"/>
    </xf>
    <xf numFmtId="0" fontId="9" fillId="4" borderId="0" xfId="4" applyFont="1" applyFill="1"/>
    <xf numFmtId="0" fontId="12" fillId="4" borderId="2" xfId="4" applyFont="1" applyFill="1" applyBorder="1" applyAlignment="1">
      <alignment horizontal="center" vertical="top" wrapText="1"/>
    </xf>
    <xf numFmtId="0" fontId="12" fillId="4" borderId="47" xfId="4" applyFont="1" applyFill="1" applyBorder="1" applyAlignment="1">
      <alignment horizontal="center" vertical="top" wrapText="1"/>
    </xf>
    <xf numFmtId="0" fontId="12" fillId="4" borderId="48" xfId="4" applyFont="1" applyFill="1" applyBorder="1" applyAlignment="1">
      <alignment horizontal="center" vertical="top" wrapText="1"/>
    </xf>
    <xf numFmtId="0" fontId="12" fillId="4" borderId="4" xfId="4" applyFont="1" applyFill="1" applyBorder="1" applyAlignment="1">
      <alignment horizontal="center" vertical="top" wrapText="1"/>
    </xf>
    <xf numFmtId="0" fontId="12" fillId="4" borderId="49" xfId="4" applyFont="1" applyFill="1" applyBorder="1" applyAlignment="1">
      <alignment horizontal="center" vertical="top" wrapText="1"/>
    </xf>
    <xf numFmtId="0" fontId="12" fillId="4" borderId="5" xfId="4" applyFont="1" applyFill="1" applyBorder="1" applyAlignment="1">
      <alignment horizontal="center" vertical="top" wrapText="1"/>
    </xf>
    <xf numFmtId="0" fontId="7" fillId="4" borderId="50" xfId="4" applyFont="1" applyFill="1" applyBorder="1" applyAlignment="1">
      <alignment horizontal="left" indent="1"/>
    </xf>
    <xf numFmtId="166" fontId="7" fillId="4" borderId="51" xfId="6" applyNumberFormat="1" applyFont="1" applyFill="1" applyBorder="1" applyAlignment="1">
      <alignment horizontal="right"/>
    </xf>
    <xf numFmtId="166" fontId="7" fillId="4" borderId="52" xfId="7" applyNumberFormat="1" applyFont="1" applyFill="1" applyBorder="1"/>
    <xf numFmtId="166" fontId="7" fillId="4" borderId="53" xfId="7" applyNumberFormat="1" applyFont="1" applyFill="1" applyBorder="1"/>
    <xf numFmtId="166" fontId="7" fillId="4" borderId="54" xfId="7" applyNumberFormat="1" applyFont="1" applyFill="1" applyBorder="1"/>
    <xf numFmtId="0" fontId="7" fillId="5" borderId="55" xfId="4" applyFont="1" applyFill="1" applyBorder="1" applyAlignment="1">
      <alignment horizontal="left" indent="1"/>
    </xf>
    <xf numFmtId="169" fontId="7" fillId="5" borderId="56" xfId="6" applyNumberFormat="1" applyFont="1" applyFill="1" applyBorder="1" applyAlignment="1">
      <alignment horizontal="right"/>
    </xf>
    <xf numFmtId="169" fontId="7" fillId="5" borderId="57" xfId="6" applyNumberFormat="1" applyFont="1" applyFill="1" applyBorder="1"/>
    <xf numFmtId="169" fontId="7" fillId="5" borderId="58" xfId="6" applyNumberFormat="1" applyFont="1" applyFill="1" applyBorder="1"/>
    <xf numFmtId="169" fontId="7" fillId="5" borderId="59" xfId="6" applyNumberFormat="1" applyFont="1" applyFill="1" applyBorder="1"/>
    <xf numFmtId="0" fontId="9" fillId="4" borderId="55" xfId="4" applyFont="1" applyFill="1" applyBorder="1" applyAlignment="1">
      <alignment horizontal="left" indent="1"/>
    </xf>
    <xf numFmtId="166" fontId="9" fillId="4" borderId="56" xfId="6" applyNumberFormat="1" applyFont="1" applyFill="1" applyBorder="1" applyAlignment="1">
      <alignment horizontal="right"/>
    </xf>
    <xf numFmtId="166" fontId="9" fillId="4" borderId="57" xfId="7" applyNumberFormat="1" applyFont="1" applyFill="1" applyBorder="1"/>
    <xf numFmtId="166" fontId="9" fillId="4" borderId="58" xfId="7" applyNumberFormat="1" applyFont="1" applyFill="1" applyBorder="1"/>
    <xf numFmtId="166" fontId="9" fillId="4" borderId="59" xfId="7" applyNumberFormat="1" applyFont="1" applyFill="1" applyBorder="1"/>
    <xf numFmtId="0" fontId="9" fillId="4" borderId="60" xfId="4" applyFont="1" applyFill="1" applyBorder="1" applyAlignment="1">
      <alignment horizontal="left" indent="1"/>
    </xf>
    <xf numFmtId="166" fontId="9" fillId="4" borderId="61" xfId="6" applyNumberFormat="1" applyFont="1" applyFill="1" applyBorder="1" applyAlignment="1">
      <alignment horizontal="right"/>
    </xf>
    <xf numFmtId="166" fontId="9" fillId="4" borderId="62" xfId="7" applyNumberFormat="1" applyFont="1" applyFill="1" applyBorder="1"/>
    <xf numFmtId="166" fontId="9" fillId="4" borderId="63" xfId="7" applyNumberFormat="1" applyFont="1" applyFill="1" applyBorder="1"/>
    <xf numFmtId="166" fontId="9" fillId="4" borderId="64" xfId="7" applyNumberFormat="1" applyFont="1" applyFill="1" applyBorder="1"/>
    <xf numFmtId="0" fontId="9" fillId="4" borderId="0" xfId="4" applyFont="1" applyFill="1" applyAlignment="1">
      <alignment horizontal="left" indent="1"/>
    </xf>
    <xf numFmtId="166" fontId="9" fillId="4" borderId="0" xfId="6" applyNumberFormat="1" applyFont="1" applyFill="1" applyAlignment="1">
      <alignment horizontal="right"/>
    </xf>
    <xf numFmtId="166" fontId="9" fillId="4" borderId="0" xfId="7" applyNumberFormat="1" applyFont="1" applyFill="1"/>
    <xf numFmtId="164" fontId="10" fillId="4" borderId="1" xfId="5" applyFont="1" applyFill="1" applyBorder="1" applyAlignment="1">
      <alignment horizontal="right" vertical="center"/>
    </xf>
    <xf numFmtId="164" fontId="10" fillId="4" borderId="2" xfId="5" applyFont="1" applyFill="1" applyBorder="1" applyAlignment="1">
      <alignment horizontal="right" vertical="center" wrapText="1"/>
    </xf>
    <xf numFmtId="164" fontId="10" fillId="4" borderId="47" xfId="5" applyFont="1" applyFill="1" applyBorder="1" applyAlignment="1">
      <alignment horizontal="right" vertical="center" wrapText="1"/>
    </xf>
    <xf numFmtId="164" fontId="10" fillId="4" borderId="48" xfId="5" applyFont="1" applyFill="1" applyBorder="1" applyAlignment="1">
      <alignment horizontal="right" vertical="center" wrapText="1"/>
    </xf>
    <xf numFmtId="164" fontId="10" fillId="4" borderId="4" xfId="5" applyFont="1" applyFill="1" applyBorder="1" applyAlignment="1">
      <alignment horizontal="right" vertical="center" wrapText="1"/>
    </xf>
    <xf numFmtId="164" fontId="10" fillId="4" borderId="49" xfId="5" applyFont="1" applyFill="1" applyBorder="1" applyAlignment="1">
      <alignment horizontal="right" vertical="center" wrapText="1"/>
    </xf>
    <xf numFmtId="164" fontId="10" fillId="4" borderId="5" xfId="5" applyFont="1" applyFill="1" applyBorder="1" applyAlignment="1">
      <alignment horizontal="right" vertical="center" wrapText="1"/>
    </xf>
    <xf numFmtId="167" fontId="9" fillId="4" borderId="23" xfId="4" applyNumberFormat="1" applyFont="1" applyFill="1" applyBorder="1" applyAlignment="1">
      <alignment horizontal="center" vertical="top" wrapText="1"/>
    </xf>
    <xf numFmtId="164" fontId="9" fillId="4" borderId="23" xfId="5" applyFont="1" applyFill="1" applyBorder="1" applyAlignment="1">
      <alignment horizontal="center" vertical="top" wrapText="1"/>
    </xf>
    <xf numFmtId="170" fontId="7" fillId="4" borderId="51" xfId="7" applyNumberFormat="1" applyFont="1" applyFill="1" applyBorder="1"/>
    <xf numFmtId="170" fontId="7" fillId="4" borderId="52" xfId="7" applyNumberFormat="1" applyFont="1" applyFill="1" applyBorder="1"/>
    <xf numFmtId="170" fontId="7" fillId="4" borderId="53" xfId="7" applyNumberFormat="1" applyFont="1" applyFill="1" applyBorder="1"/>
    <xf numFmtId="170" fontId="7" fillId="4" borderId="54" xfId="7" applyNumberFormat="1" applyFont="1" applyFill="1" applyBorder="1"/>
    <xf numFmtId="166" fontId="7" fillId="5" borderId="57" xfId="6" applyNumberFormat="1" applyFont="1" applyFill="1" applyBorder="1"/>
    <xf numFmtId="166" fontId="7" fillId="5" borderId="58" xfId="6" applyNumberFormat="1" applyFont="1" applyFill="1" applyBorder="1"/>
    <xf numFmtId="166" fontId="7" fillId="5" borderId="59" xfId="6" applyNumberFormat="1" applyFont="1" applyFill="1" applyBorder="1"/>
    <xf numFmtId="0" fontId="7" fillId="4" borderId="55" xfId="4" applyFont="1" applyFill="1" applyBorder="1" applyAlignment="1">
      <alignment horizontal="left" indent="1"/>
    </xf>
    <xf numFmtId="170" fontId="7" fillId="4" borderId="56" xfId="7" applyNumberFormat="1" applyFont="1" applyFill="1" applyBorder="1" applyAlignment="1">
      <alignment horizontal="center"/>
    </xf>
    <xf numFmtId="170" fontId="7" fillId="4" borderId="57" xfId="7" applyNumberFormat="1" applyFont="1" applyFill="1" applyBorder="1"/>
    <xf numFmtId="170" fontId="7" fillId="4" borderId="58" xfId="7" applyNumberFormat="1" applyFont="1" applyFill="1" applyBorder="1"/>
    <xf numFmtId="170" fontId="7" fillId="4" borderId="59" xfId="7" applyNumberFormat="1" applyFont="1" applyFill="1" applyBorder="1"/>
    <xf numFmtId="166" fontId="7" fillId="5" borderId="56" xfId="6" applyNumberFormat="1" applyFont="1" applyFill="1" applyBorder="1" applyAlignment="1">
      <alignment horizontal="right"/>
    </xf>
    <xf numFmtId="166" fontId="7" fillId="4" borderId="57" xfId="6" applyNumberFormat="1" applyFont="1" applyFill="1" applyBorder="1"/>
    <xf numFmtId="166" fontId="7" fillId="4" borderId="58" xfId="6" applyNumberFormat="1" applyFont="1" applyFill="1" applyBorder="1"/>
    <xf numFmtId="166" fontId="7" fillId="4" borderId="59" xfId="6" applyNumberFormat="1" applyFont="1" applyFill="1" applyBorder="1"/>
    <xf numFmtId="170" fontId="7" fillId="5" borderId="56" xfId="7" applyNumberFormat="1" applyFont="1" applyFill="1" applyBorder="1"/>
    <xf numFmtId="170" fontId="7" fillId="5" borderId="57" xfId="7" applyNumberFormat="1" applyFont="1" applyFill="1" applyBorder="1"/>
    <xf numFmtId="170" fontId="7" fillId="5" borderId="58" xfId="7" applyNumberFormat="1" applyFont="1" applyFill="1" applyBorder="1"/>
    <xf numFmtId="170" fontId="7" fillId="5" borderId="59" xfId="7" applyNumberFormat="1" applyFont="1" applyFill="1" applyBorder="1"/>
    <xf numFmtId="0" fontId="7" fillId="0" borderId="55" xfId="4" applyFont="1" applyBorder="1" applyAlignment="1">
      <alignment horizontal="left" indent="1"/>
    </xf>
    <xf numFmtId="166" fontId="7" fillId="0" borderId="56" xfId="6" applyNumberFormat="1" applyFont="1" applyBorder="1"/>
    <xf numFmtId="166" fontId="7" fillId="0" borderId="57" xfId="6" applyNumberFormat="1" applyFont="1" applyBorder="1"/>
    <xf numFmtId="166" fontId="7" fillId="0" borderId="58" xfId="6" applyNumberFormat="1" applyFont="1" applyBorder="1"/>
    <xf numFmtId="166" fontId="7" fillId="0" borderId="59" xfId="6" applyNumberFormat="1" applyFont="1" applyBorder="1"/>
    <xf numFmtId="170" fontId="7" fillId="0" borderId="56" xfId="7" applyNumberFormat="1" applyFont="1" applyBorder="1" applyAlignment="1">
      <alignment horizontal="center"/>
    </xf>
    <xf numFmtId="170" fontId="7" fillId="0" borderId="57" xfId="7" applyNumberFormat="1" applyFont="1" applyBorder="1"/>
    <xf numFmtId="170" fontId="7" fillId="0" borderId="58" xfId="7" applyNumberFormat="1" applyFont="1" applyBorder="1"/>
    <xf numFmtId="170" fontId="7" fillId="0" borderId="59" xfId="7" applyNumberFormat="1" applyFont="1" applyBorder="1"/>
    <xf numFmtId="165" fontId="7" fillId="0" borderId="56" xfId="5" applyNumberFormat="1" applyFont="1" applyBorder="1" applyAlignment="1">
      <alignment horizontal="center"/>
    </xf>
    <xf numFmtId="166" fontId="7" fillId="5" borderId="57" xfId="5" applyNumberFormat="1" applyFont="1" applyFill="1" applyBorder="1"/>
    <xf numFmtId="166" fontId="7" fillId="5" borderId="58" xfId="5" applyNumberFormat="1" applyFont="1" applyFill="1" applyBorder="1"/>
    <xf numFmtId="166" fontId="7" fillId="5" borderId="59" xfId="5" applyNumberFormat="1" applyFont="1" applyFill="1" applyBorder="1"/>
    <xf numFmtId="0" fontId="7" fillId="6" borderId="60" xfId="4" applyFont="1" applyFill="1" applyBorder="1" applyAlignment="1">
      <alignment horizontal="left" indent="1"/>
    </xf>
    <xf numFmtId="166" fontId="7" fillId="6" borderId="61" xfId="6" applyNumberFormat="1" applyFont="1" applyFill="1" applyBorder="1" applyAlignment="1">
      <alignment horizontal="right"/>
    </xf>
    <xf numFmtId="166" fontId="7" fillId="6" borderId="62" xfId="6" applyNumberFormat="1" applyFont="1" applyFill="1" applyBorder="1"/>
    <xf numFmtId="166" fontId="7" fillId="6" borderId="62" xfId="5" applyNumberFormat="1" applyFont="1" applyFill="1" applyBorder="1"/>
    <xf numFmtId="166" fontId="7" fillId="6" borderId="63" xfId="5" applyNumberFormat="1" applyFont="1" applyFill="1" applyBorder="1"/>
    <xf numFmtId="166" fontId="7" fillId="6" borderId="64" xfId="5" applyNumberFormat="1" applyFont="1" applyFill="1" applyBorder="1"/>
    <xf numFmtId="0" fontId="7" fillId="6" borderId="0" xfId="4" applyFont="1" applyFill="1"/>
    <xf numFmtId="9" fontId="7" fillId="4" borderId="0" xfId="4" applyNumberFormat="1" applyFont="1" applyFill="1"/>
    <xf numFmtId="167" fontId="9" fillId="4" borderId="21" xfId="4" applyNumberFormat="1" applyFont="1" applyFill="1" applyBorder="1" applyAlignment="1">
      <alignment horizontal="center" vertical="top" wrapText="1"/>
    </xf>
    <xf numFmtId="168" fontId="9" fillId="4" borderId="23" xfId="7" applyFont="1" applyFill="1" applyBorder="1" applyAlignment="1">
      <alignment horizontal="center" vertical="top" wrapText="1"/>
    </xf>
    <xf numFmtId="166" fontId="9" fillId="4" borderId="23" xfId="6" applyNumberFormat="1" applyFont="1" applyFill="1" applyBorder="1" applyAlignment="1">
      <alignment horizontal="center" vertical="top" wrapText="1"/>
    </xf>
    <xf numFmtId="171" fontId="7" fillId="4" borderId="51" xfId="5" applyNumberFormat="1" applyFont="1" applyFill="1" applyBorder="1"/>
    <xf numFmtId="171" fontId="7" fillId="4" borderId="52" xfId="5" applyNumberFormat="1" applyFont="1" applyFill="1" applyBorder="1"/>
    <xf numFmtId="171" fontId="7" fillId="4" borderId="53" xfId="5" applyNumberFormat="1" applyFont="1" applyFill="1" applyBorder="1"/>
    <xf numFmtId="171" fontId="7" fillId="4" borderId="54" xfId="5" applyNumberFormat="1" applyFont="1" applyFill="1" applyBorder="1"/>
    <xf numFmtId="171" fontId="7" fillId="5" borderId="56" xfId="5" applyNumberFormat="1" applyFont="1" applyFill="1" applyBorder="1"/>
    <xf numFmtId="171" fontId="7" fillId="5" borderId="57" xfId="5" applyNumberFormat="1" applyFont="1" applyFill="1" applyBorder="1"/>
    <xf numFmtId="171" fontId="7" fillId="5" borderId="58" xfId="5" applyNumberFormat="1" applyFont="1" applyFill="1" applyBorder="1"/>
    <xf numFmtId="171" fontId="7" fillId="5" borderId="59" xfId="5" applyNumberFormat="1" applyFont="1" applyFill="1" applyBorder="1"/>
    <xf numFmtId="0" fontId="7" fillId="4" borderId="65" xfId="4" applyFont="1" applyFill="1" applyBorder="1" applyAlignment="1">
      <alignment horizontal="left" indent="1"/>
    </xf>
    <xf numFmtId="171" fontId="7" fillId="4" borderId="66" xfId="5" applyNumberFormat="1" applyFont="1" applyFill="1" applyBorder="1"/>
    <xf numFmtId="171" fontId="7" fillId="4" borderId="67" xfId="5" applyNumberFormat="1" applyFont="1" applyFill="1" applyBorder="1"/>
    <xf numFmtId="171" fontId="7" fillId="4" borderId="68" xfId="5" applyNumberFormat="1" applyFont="1" applyFill="1" applyBorder="1"/>
    <xf numFmtId="171" fontId="7" fillId="4" borderId="69" xfId="5" applyNumberFormat="1" applyFont="1" applyFill="1" applyBorder="1"/>
    <xf numFmtId="0" fontId="9" fillId="5" borderId="21" xfId="4" applyFont="1" applyFill="1" applyBorder="1" applyAlignment="1">
      <alignment horizontal="left" indent="1"/>
    </xf>
    <xf numFmtId="171" fontId="9" fillId="5" borderId="44" xfId="5" applyNumberFormat="1" applyFont="1" applyFill="1" applyBorder="1"/>
    <xf numFmtId="171" fontId="9" fillId="5" borderId="22" xfId="5" applyNumberFormat="1" applyFont="1" applyFill="1" applyBorder="1"/>
    <xf numFmtId="171" fontId="9" fillId="5" borderId="70" xfId="5" applyNumberFormat="1" applyFont="1" applyFill="1" applyBorder="1"/>
    <xf numFmtId="171" fontId="9" fillId="5" borderId="30" xfId="5" applyNumberFormat="1" applyFont="1" applyFill="1" applyBorder="1"/>
    <xf numFmtId="0" fontId="9" fillId="0" borderId="2" xfId="4" applyFont="1" applyBorder="1" applyAlignment="1">
      <alignment horizontal="left" indent="1"/>
    </xf>
    <xf numFmtId="171" fontId="9" fillId="0" borderId="71" xfId="5" applyNumberFormat="1" applyFont="1" applyBorder="1"/>
    <xf numFmtId="171" fontId="9" fillId="0" borderId="3" xfId="5" applyNumberFormat="1" applyFont="1" applyBorder="1"/>
    <xf numFmtId="171" fontId="9" fillId="0" borderId="49" xfId="5" applyNumberFormat="1" applyFont="1" applyBorder="1"/>
    <xf numFmtId="171" fontId="9" fillId="0" borderId="5" xfId="5" applyNumberFormat="1" applyFont="1" applyBorder="1"/>
    <xf numFmtId="0" fontId="7" fillId="5" borderId="72" xfId="4" applyFont="1" applyFill="1" applyBorder="1" applyAlignment="1">
      <alignment horizontal="left" indent="1"/>
    </xf>
    <xf numFmtId="169" fontId="7" fillId="5" borderId="73" xfId="5" applyNumberFormat="1" applyFont="1" applyFill="1" applyBorder="1" applyAlignment="1">
      <alignment horizontal="right"/>
    </xf>
    <xf numFmtId="169" fontId="7" fillId="5" borderId="74" xfId="5" applyNumberFormat="1" applyFont="1" applyFill="1" applyBorder="1" applyAlignment="1">
      <alignment horizontal="right"/>
    </xf>
    <xf numFmtId="169" fontId="7" fillId="5" borderId="75" xfId="5" applyNumberFormat="1" applyFont="1" applyFill="1" applyBorder="1" applyAlignment="1">
      <alignment horizontal="right"/>
    </xf>
    <xf numFmtId="169" fontId="7" fillId="5" borderId="76" xfId="5" applyNumberFormat="1" applyFont="1" applyFill="1" applyBorder="1" applyAlignment="1">
      <alignment horizontal="right"/>
    </xf>
    <xf numFmtId="169" fontId="7" fillId="0" borderId="56" xfId="5" applyNumberFormat="1" applyFont="1" applyBorder="1" applyAlignment="1">
      <alignment horizontal="right"/>
    </xf>
    <xf numFmtId="169" fontId="7" fillId="0" borderId="57" xfId="5" applyNumberFormat="1" applyFont="1" applyBorder="1" applyAlignment="1">
      <alignment horizontal="right"/>
    </xf>
    <xf numFmtId="169" fontId="7" fillId="0" borderId="58" xfId="5" applyNumberFormat="1" applyFont="1" applyBorder="1" applyAlignment="1">
      <alignment horizontal="right"/>
    </xf>
    <xf numFmtId="169" fontId="7" fillId="0" borderId="59" xfId="5" applyNumberFormat="1" applyFont="1" applyBorder="1" applyAlignment="1">
      <alignment horizontal="right"/>
    </xf>
    <xf numFmtId="169" fontId="7" fillId="5" borderId="56" xfId="5" applyNumberFormat="1" applyFont="1" applyFill="1" applyBorder="1" applyAlignment="1">
      <alignment horizontal="right"/>
    </xf>
    <xf numFmtId="169" fontId="7" fillId="5" borderId="57" xfId="5" applyNumberFormat="1" applyFont="1" applyFill="1" applyBorder="1" applyAlignment="1">
      <alignment horizontal="right"/>
    </xf>
    <xf numFmtId="169" fontId="7" fillId="5" borderId="58" xfId="5" applyNumberFormat="1" applyFont="1" applyFill="1" applyBorder="1" applyAlignment="1">
      <alignment horizontal="right"/>
    </xf>
    <xf numFmtId="169" fontId="7" fillId="5" borderId="59" xfId="5" applyNumberFormat="1" applyFont="1" applyFill="1" applyBorder="1" applyAlignment="1">
      <alignment horizontal="right"/>
    </xf>
    <xf numFmtId="0" fontId="7" fillId="0" borderId="60" xfId="4" applyFont="1" applyBorder="1" applyAlignment="1">
      <alignment horizontal="left" indent="1"/>
    </xf>
    <xf numFmtId="169" fontId="7" fillId="0" borderId="61" xfId="5" applyNumberFormat="1" applyFont="1" applyBorder="1"/>
    <xf numFmtId="169" fontId="7" fillId="0" borderId="62" xfId="5" applyNumberFormat="1" applyFont="1" applyBorder="1"/>
    <xf numFmtId="169" fontId="7" fillId="0" borderId="63" xfId="5" applyNumberFormat="1" applyFont="1" applyBorder="1"/>
    <xf numFmtId="169" fontId="7" fillId="0" borderId="64" xfId="5" applyNumberFormat="1" applyFont="1" applyBorder="1"/>
    <xf numFmtId="169" fontId="7" fillId="4" borderId="23" xfId="4" applyNumberFormat="1" applyFont="1" applyFill="1" applyBorder="1" applyAlignment="1">
      <alignment horizontal="center" vertical="top" wrapText="1"/>
    </xf>
    <xf numFmtId="169" fontId="7" fillId="4" borderId="51" xfId="5" applyNumberFormat="1" applyFont="1" applyFill="1" applyBorder="1"/>
    <xf numFmtId="169" fontId="7" fillId="4" borderId="52" xfId="5" applyNumberFormat="1" applyFont="1" applyFill="1" applyBorder="1"/>
    <xf numFmtId="169" fontId="7" fillId="4" borderId="53" xfId="5" applyNumberFormat="1" applyFont="1" applyFill="1" applyBorder="1"/>
    <xf numFmtId="169" fontId="7" fillId="4" borderId="54" xfId="5" applyNumberFormat="1" applyFont="1" applyFill="1" applyBorder="1"/>
    <xf numFmtId="169" fontId="7" fillId="5" borderId="56" xfId="5" applyNumberFormat="1" applyFont="1" applyFill="1" applyBorder="1"/>
    <xf numFmtId="169" fontId="7" fillId="5" borderId="57" xfId="5" applyNumberFormat="1" applyFont="1" applyFill="1" applyBorder="1"/>
    <xf numFmtId="169" fontId="7" fillId="5" borderId="58" xfId="5" applyNumberFormat="1" applyFont="1" applyFill="1" applyBorder="1"/>
    <xf numFmtId="169" fontId="7" fillId="5" borderId="59" xfId="5" applyNumberFormat="1" applyFont="1" applyFill="1" applyBorder="1"/>
    <xf numFmtId="169" fontId="7" fillId="4" borderId="56" xfId="5" applyNumberFormat="1" applyFont="1" applyFill="1" applyBorder="1"/>
    <xf numFmtId="169" fontId="7" fillId="4" borderId="57" xfId="5" applyNumberFormat="1" applyFont="1" applyFill="1" applyBorder="1"/>
    <xf numFmtId="169" fontId="7" fillId="4" borderId="58" xfId="5" applyNumberFormat="1" applyFont="1" applyFill="1" applyBorder="1"/>
    <xf numFmtId="169" fontId="7" fillId="4" borderId="59" xfId="5" applyNumberFormat="1" applyFont="1" applyFill="1" applyBorder="1"/>
    <xf numFmtId="170" fontId="7" fillId="0" borderId="56" xfId="7" applyNumberFormat="1" applyFont="1" applyBorder="1"/>
    <xf numFmtId="0" fontId="7" fillId="0" borderId="0" xfId="4" applyFont="1"/>
    <xf numFmtId="166" fontId="7" fillId="0" borderId="57" xfId="5" applyNumberFormat="1" applyFont="1" applyBorder="1"/>
    <xf numFmtId="166" fontId="7" fillId="0" borderId="58" xfId="5" applyNumberFormat="1" applyFont="1" applyBorder="1"/>
    <xf numFmtId="166" fontId="7" fillId="0" borderId="59" xfId="5" applyNumberFormat="1" applyFont="1" applyBorder="1"/>
    <xf numFmtId="166" fontId="7" fillId="0" borderId="62" xfId="6" applyNumberFormat="1" applyFont="1" applyBorder="1"/>
    <xf numFmtId="166" fontId="7" fillId="0" borderId="63" xfId="6" applyNumberFormat="1" applyFont="1" applyBorder="1"/>
    <xf numFmtId="166" fontId="7" fillId="0" borderId="64" xfId="6" applyNumberFormat="1" applyFont="1" applyBorder="1"/>
    <xf numFmtId="166" fontId="7" fillId="4" borderId="51" xfId="6" applyNumberFormat="1" applyFont="1" applyFill="1" applyBorder="1"/>
    <xf numFmtId="166" fontId="7" fillId="4" borderId="52" xfId="6" applyNumberFormat="1" applyFont="1" applyFill="1" applyBorder="1"/>
    <xf numFmtId="166" fontId="7" fillId="4" borderId="53" xfId="6" applyNumberFormat="1" applyFont="1" applyFill="1" applyBorder="1"/>
    <xf numFmtId="166" fontId="7" fillId="4" borderId="54" xfId="6" applyNumberFormat="1" applyFont="1" applyFill="1" applyBorder="1"/>
    <xf numFmtId="166" fontId="7" fillId="5" borderId="56" xfId="6" applyNumberFormat="1" applyFont="1" applyFill="1" applyBorder="1"/>
    <xf numFmtId="166" fontId="7" fillId="4" borderId="56" xfId="6" applyNumberFormat="1" applyFont="1" applyFill="1" applyBorder="1"/>
    <xf numFmtId="9" fontId="7" fillId="0" borderId="56" xfId="6" applyFont="1" applyBorder="1" applyAlignment="1">
      <alignment horizontal="center"/>
    </xf>
    <xf numFmtId="9" fontId="7" fillId="5" borderId="56" xfId="6" applyFont="1" applyFill="1" applyBorder="1" applyAlignment="1">
      <alignment horizontal="center"/>
    </xf>
    <xf numFmtId="168" fontId="7" fillId="5" borderId="57" xfId="7" applyFont="1" applyFill="1" applyBorder="1" applyAlignment="1">
      <alignment horizontal="center"/>
    </xf>
    <xf numFmtId="9" fontId="7" fillId="0" borderId="61" xfId="6" applyFont="1" applyBorder="1" applyAlignment="1">
      <alignment horizontal="center"/>
    </xf>
    <xf numFmtId="165" fontId="7" fillId="4" borderId="0" xfId="6" applyNumberFormat="1" applyFont="1" applyFill="1"/>
    <xf numFmtId="165" fontId="9" fillId="4" borderId="23" xfId="5" applyNumberFormat="1" applyFont="1" applyFill="1" applyBorder="1" applyAlignment="1">
      <alignment horizontal="center" vertical="top" wrapText="1"/>
    </xf>
    <xf numFmtId="0" fontId="7" fillId="5" borderId="50" xfId="4" applyFont="1" applyFill="1" applyBorder="1" applyAlignment="1">
      <alignment horizontal="left" indent="1"/>
    </xf>
    <xf numFmtId="170" fontId="7" fillId="5" borderId="51" xfId="7" applyNumberFormat="1" applyFont="1" applyFill="1" applyBorder="1"/>
    <xf numFmtId="170" fontId="7" fillId="5" borderId="52" xfId="7" applyNumberFormat="1" applyFont="1" applyFill="1" applyBorder="1"/>
    <xf numFmtId="170" fontId="7" fillId="5" borderId="53" xfId="7" applyNumberFormat="1" applyFont="1" applyFill="1" applyBorder="1"/>
    <xf numFmtId="170" fontId="7" fillId="5" borderId="54" xfId="7" applyNumberFormat="1" applyFont="1" applyFill="1" applyBorder="1"/>
    <xf numFmtId="172" fontId="7" fillId="5" borderId="56" xfId="7" applyNumberFormat="1" applyFont="1" applyFill="1" applyBorder="1" applyAlignment="1">
      <alignment horizontal="center"/>
    </xf>
    <xf numFmtId="0" fontId="7" fillId="0" borderId="55" xfId="4" quotePrefix="1" applyFont="1" applyBorder="1" applyAlignment="1">
      <alignment horizontal="left" indent="1"/>
    </xf>
    <xf numFmtId="169" fontId="7" fillId="0" borderId="56" xfId="5" applyNumberFormat="1" applyFont="1" applyBorder="1"/>
    <xf numFmtId="169" fontId="7" fillId="0" borderId="57" xfId="5" applyNumberFormat="1" applyFont="1" applyBorder="1"/>
    <xf numFmtId="169" fontId="7" fillId="0" borderId="58" xfId="5" applyNumberFormat="1" applyFont="1" applyBorder="1"/>
    <xf numFmtId="169" fontId="7" fillId="0" borderId="59" xfId="5" applyNumberFormat="1" applyFont="1" applyBorder="1"/>
    <xf numFmtId="0" fontId="7" fillId="5" borderId="55" xfId="4" quotePrefix="1" applyFont="1" applyFill="1" applyBorder="1" applyAlignment="1">
      <alignment horizontal="left" indent="1"/>
    </xf>
    <xf numFmtId="0" fontId="13" fillId="7" borderId="1" xfId="4" applyFont="1" applyFill="1" applyBorder="1"/>
    <xf numFmtId="0" fontId="7" fillId="0" borderId="31" xfId="4" applyFont="1" applyBorder="1" applyAlignment="1">
      <alignment horizontal="left" indent="1"/>
    </xf>
    <xf numFmtId="170" fontId="7" fillId="0" borderId="51" xfId="7" applyNumberFormat="1" applyFont="1" applyBorder="1"/>
    <xf numFmtId="170" fontId="7" fillId="0" borderId="52" xfId="7" applyNumberFormat="1" applyFont="1" applyBorder="1"/>
    <xf numFmtId="170" fontId="7" fillId="0" borderId="54" xfId="7" applyNumberFormat="1" applyFont="1" applyBorder="1"/>
    <xf numFmtId="0" fontId="7" fillId="5" borderId="77" xfId="4" applyFont="1" applyFill="1" applyBorder="1" applyAlignment="1">
      <alignment horizontal="left" indent="1"/>
    </xf>
    <xf numFmtId="0" fontId="7" fillId="0" borderId="78" xfId="4" applyFont="1" applyBorder="1" applyAlignment="1">
      <alignment horizontal="left" indent="1"/>
    </xf>
    <xf numFmtId="0" fontId="7" fillId="5" borderId="78" xfId="4" applyFont="1" applyFill="1" applyBorder="1" applyAlignment="1">
      <alignment horizontal="left" indent="1"/>
    </xf>
    <xf numFmtId="170" fontId="7" fillId="4" borderId="56" xfId="7" applyNumberFormat="1" applyFont="1" applyFill="1" applyBorder="1"/>
    <xf numFmtId="0" fontId="7" fillId="5" borderId="43" xfId="4" applyFont="1" applyFill="1" applyBorder="1" applyAlignment="1">
      <alignment horizontal="left" indent="1"/>
    </xf>
    <xf numFmtId="172" fontId="7" fillId="5" borderId="61" xfId="7" applyNumberFormat="1" applyFont="1" applyFill="1" applyBorder="1" applyAlignment="1">
      <alignment horizontal="center"/>
    </xf>
    <xf numFmtId="166" fontId="7" fillId="5" borderId="62" xfId="6" applyNumberFormat="1" applyFont="1" applyFill="1" applyBorder="1"/>
    <xf numFmtId="166" fontId="7" fillId="5" borderId="64" xfId="6" applyNumberFormat="1" applyFont="1" applyFill="1" applyBorder="1"/>
    <xf numFmtId="0" fontId="14" fillId="0" borderId="1" xfId="4" applyFont="1" applyFill="1" applyBorder="1" applyAlignment="1">
      <alignment horizontal="center" wrapText="1"/>
    </xf>
    <xf numFmtId="0" fontId="15" fillId="0" borderId="0" xfId="0" applyFont="1"/>
    <xf numFmtId="0" fontId="15" fillId="4" borderId="0" xfId="4" applyFont="1" applyFill="1"/>
    <xf numFmtId="0" fontId="15" fillId="0" borderId="0" xfId="1" applyFont="1"/>
    <xf numFmtId="0" fontId="3" fillId="0" borderId="0" xfId="1" applyFont="1" applyFill="1" applyBorder="1" applyAlignment="1">
      <alignment horizontal="left" indent="1"/>
    </xf>
    <xf numFmtId="0" fontId="2" fillId="0" borderId="0" xfId="1" applyFont="1" applyFill="1" applyBorder="1"/>
    <xf numFmtId="0" fontId="3" fillId="0" borderId="0" xfId="1" applyFont="1" applyFill="1" applyBorder="1" applyAlignment="1">
      <alignment vertical="center"/>
    </xf>
    <xf numFmtId="165" fontId="3" fillId="0" borderId="0" xfId="2" applyNumberFormat="1" applyFont="1" applyFill="1" applyBorder="1"/>
    <xf numFmtId="0" fontId="2" fillId="0" borderId="0" xfId="1" applyFont="1" applyFill="1" applyBorder="1" applyAlignment="1">
      <alignment vertical="center"/>
    </xf>
    <xf numFmtId="0" fontId="0" fillId="0" borderId="0" xfId="0" applyBorder="1"/>
    <xf numFmtId="173" fontId="3" fillId="0" borderId="0" xfId="9" applyNumberFormat="1" applyFont="1"/>
    <xf numFmtId="174" fontId="3" fillId="0" borderId="0" xfId="9" applyNumberFormat="1" applyFont="1"/>
    <xf numFmtId="166" fontId="7" fillId="5" borderId="57" xfId="6" applyNumberFormat="1" applyFont="1" applyFill="1" applyBorder="1" applyAlignment="1">
      <alignment horizontal="right"/>
    </xf>
    <xf numFmtId="0" fontId="8" fillId="12" borderId="1" xfId="4" applyFont="1" applyFill="1" applyBorder="1" applyAlignment="1">
      <alignment horizontal="center"/>
    </xf>
    <xf numFmtId="0" fontId="2" fillId="9" borderId="0" xfId="1" applyFont="1" applyFill="1"/>
    <xf numFmtId="0" fontId="0" fillId="6" borderId="0" xfId="0" applyFill="1"/>
    <xf numFmtId="0" fontId="9" fillId="0" borderId="0" xfId="1" applyFont="1"/>
    <xf numFmtId="0" fontId="9" fillId="0" borderId="85" xfId="1" applyFont="1" applyBorder="1" applyAlignment="1">
      <alignment horizontal="center"/>
    </xf>
    <xf numFmtId="0" fontId="9" fillId="0" borderId="86" xfId="1" applyFont="1" applyBorder="1" applyAlignment="1">
      <alignment horizontal="center"/>
    </xf>
    <xf numFmtId="0" fontId="9" fillId="0" borderId="87" xfId="1" applyFont="1" applyBorder="1" applyAlignment="1">
      <alignment horizontal="center"/>
    </xf>
    <xf numFmtId="0" fontId="9" fillId="0" borderId="0" xfId="1" applyFont="1" applyAlignment="1">
      <alignment horizontal="center"/>
    </xf>
    <xf numFmtId="0" fontId="7" fillId="0" borderId="0" xfId="1" applyFont="1"/>
    <xf numFmtId="165" fontId="7" fillId="0" borderId="0" xfId="2" applyNumberFormat="1" applyFont="1" applyAlignment="1">
      <alignment horizontal="center" vertical="top" wrapText="1"/>
    </xf>
    <xf numFmtId="0" fontId="12" fillId="0" borderId="22" xfId="1" applyFont="1" applyBorder="1" applyAlignment="1" applyProtection="1">
      <alignment horizontal="center" vertical="top" wrapText="1"/>
      <protection locked="0"/>
    </xf>
    <xf numFmtId="0" fontId="12" fillId="0" borderId="23" xfId="1" applyFont="1" applyBorder="1" applyAlignment="1" applyProtection="1">
      <alignment horizontal="center" vertical="top" wrapText="1"/>
      <protection locked="0"/>
    </xf>
    <xf numFmtId="0" fontId="12" fillId="0" borderId="30" xfId="1" applyFont="1" applyBorder="1" applyAlignment="1" applyProtection="1">
      <alignment horizontal="center" vertical="top" wrapText="1"/>
      <protection locked="0"/>
    </xf>
    <xf numFmtId="0" fontId="12" fillId="0" borderId="2" xfId="1" applyFont="1" applyBorder="1" applyAlignment="1" applyProtection="1">
      <alignment horizontal="center" vertical="top" wrapText="1"/>
      <protection locked="0"/>
    </xf>
    <xf numFmtId="0" fontId="12" fillId="0" borderId="3" xfId="1" applyFont="1" applyBorder="1" applyAlignment="1" applyProtection="1">
      <alignment horizontal="center" vertical="top" wrapText="1"/>
      <protection locked="0"/>
    </xf>
    <xf numFmtId="0" fontId="12" fillId="0" borderId="4" xfId="1" applyFont="1" applyBorder="1" applyAlignment="1" applyProtection="1">
      <alignment horizontal="center" vertical="top" wrapText="1"/>
      <protection locked="0"/>
    </xf>
    <xf numFmtId="0" fontId="12" fillId="0" borderId="5" xfId="1" applyFont="1" applyBorder="1" applyAlignment="1" applyProtection="1">
      <alignment horizontal="center" vertical="top" wrapText="1"/>
      <protection locked="0"/>
    </xf>
    <xf numFmtId="165" fontId="7" fillId="0" borderId="0" xfId="2" applyNumberFormat="1" applyFont="1"/>
    <xf numFmtId="0" fontId="12" fillId="0" borderId="0" xfId="1" applyFont="1" applyAlignment="1">
      <alignment horizontal="right" vertical="top" wrapText="1"/>
    </xf>
    <xf numFmtId="0" fontId="12" fillId="10" borderId="1" xfId="1" applyFont="1" applyFill="1" applyBorder="1" applyAlignment="1">
      <alignment horizontal="center"/>
    </xf>
    <xf numFmtId="0" fontId="7" fillId="0" borderId="10" xfId="1" applyFont="1" applyBorder="1" applyAlignment="1">
      <alignment horizontal="left" indent="1"/>
    </xf>
    <xf numFmtId="165" fontId="7" fillId="0" borderId="10" xfId="2" applyNumberFormat="1" applyFont="1" applyBorder="1" applyAlignment="1" applyProtection="1">
      <alignment horizontal="right"/>
      <protection locked="0"/>
    </xf>
    <xf numFmtId="165" fontId="7" fillId="0" borderId="11" xfId="2" applyNumberFormat="1" applyFont="1" applyBorder="1" applyAlignment="1" applyProtection="1">
      <alignment horizontal="right"/>
      <protection locked="0"/>
    </xf>
    <xf numFmtId="165" fontId="7" fillId="0" borderId="12" xfId="2" applyNumberFormat="1" applyFont="1" applyBorder="1" applyAlignment="1" applyProtection="1">
      <alignment horizontal="right"/>
      <protection locked="0"/>
    </xf>
    <xf numFmtId="165" fontId="7" fillId="0" borderId="13" xfId="2" applyNumberFormat="1" applyFont="1" applyBorder="1" applyAlignment="1" applyProtection="1">
      <alignment horizontal="right"/>
      <protection locked="0"/>
    </xf>
    <xf numFmtId="0" fontId="7" fillId="0" borderId="14" xfId="1" applyFont="1" applyBorder="1" applyAlignment="1">
      <alignment horizontal="left" indent="1"/>
    </xf>
    <xf numFmtId="165" fontId="7" fillId="0" borderId="14" xfId="2" applyNumberFormat="1" applyFont="1" applyBorder="1" applyAlignment="1" applyProtection="1">
      <alignment horizontal="right"/>
      <protection locked="0"/>
    </xf>
    <xf numFmtId="165" fontId="7" fillId="0" borderId="15" xfId="2" applyNumberFormat="1" applyFont="1" applyBorder="1" applyAlignment="1" applyProtection="1">
      <alignment horizontal="right"/>
      <protection locked="0"/>
    </xf>
    <xf numFmtId="165" fontId="7" fillId="0" borderId="0" xfId="2" applyNumberFormat="1" applyFont="1" applyAlignment="1" applyProtection="1">
      <alignment horizontal="right"/>
      <protection locked="0"/>
    </xf>
    <xf numFmtId="165" fontId="7" fillId="0" borderId="16" xfId="2" applyNumberFormat="1" applyFont="1" applyBorder="1" applyAlignment="1" applyProtection="1">
      <alignment horizontal="right"/>
      <protection locked="0"/>
    </xf>
    <xf numFmtId="0" fontId="7" fillId="0" borderId="17" xfId="1" applyFont="1" applyBorder="1" applyAlignment="1">
      <alignment horizontal="left" indent="1"/>
    </xf>
    <xf numFmtId="165" fontId="7" fillId="0" borderId="17" xfId="2" applyNumberFormat="1" applyFont="1" applyBorder="1" applyAlignment="1" applyProtection="1">
      <alignment horizontal="right"/>
      <protection locked="0"/>
    </xf>
    <xf numFmtId="165" fontId="7" fillId="0" borderId="18" xfId="2" applyNumberFormat="1" applyFont="1" applyBorder="1" applyAlignment="1" applyProtection="1">
      <alignment horizontal="right"/>
      <protection locked="0"/>
    </xf>
    <xf numFmtId="165" fontId="7" fillId="0" borderId="19" xfId="2" applyNumberFormat="1" applyFont="1" applyBorder="1" applyAlignment="1" applyProtection="1">
      <alignment horizontal="right"/>
      <protection locked="0"/>
    </xf>
    <xf numFmtId="165" fontId="7" fillId="0" borderId="20" xfId="2" applyNumberFormat="1" applyFont="1" applyBorder="1" applyAlignment="1" applyProtection="1">
      <alignment horizontal="right"/>
      <protection locked="0"/>
    </xf>
    <xf numFmtId="165" fontId="9" fillId="3" borderId="21" xfId="2" applyNumberFormat="1" applyFont="1" applyFill="1" applyBorder="1" applyAlignment="1">
      <alignment horizontal="right"/>
    </xf>
    <xf numFmtId="165" fontId="9" fillId="3" borderId="22" xfId="2" applyNumberFormat="1" applyFont="1" applyFill="1" applyBorder="1" applyAlignment="1">
      <alignment horizontal="right"/>
    </xf>
    <xf numFmtId="165" fontId="9" fillId="3" borderId="23" xfId="2" applyNumberFormat="1" applyFont="1" applyFill="1" applyBorder="1" applyAlignment="1">
      <alignment horizontal="right"/>
    </xf>
    <xf numFmtId="165" fontId="9" fillId="3" borderId="24" xfId="2" applyNumberFormat="1" applyFont="1" applyFill="1" applyBorder="1" applyAlignment="1">
      <alignment horizontal="right"/>
    </xf>
    <xf numFmtId="165" fontId="9" fillId="3" borderId="25" xfId="2" applyNumberFormat="1" applyFont="1" applyFill="1" applyBorder="1" applyAlignment="1">
      <alignment horizontal="right"/>
    </xf>
    <xf numFmtId="0" fontId="7" fillId="0" borderId="26" xfId="1" applyFont="1" applyBorder="1" applyAlignment="1">
      <alignment horizontal="left" indent="1"/>
    </xf>
    <xf numFmtId="165" fontId="7" fillId="0" borderId="26" xfId="2" applyNumberFormat="1" applyFont="1" applyBorder="1" applyAlignment="1" applyProtection="1">
      <alignment horizontal="right"/>
      <protection locked="0"/>
    </xf>
    <xf numFmtId="165" fontId="7" fillId="0" borderId="27" xfId="2" applyNumberFormat="1" applyFont="1" applyBorder="1" applyAlignment="1" applyProtection="1">
      <alignment horizontal="right"/>
      <protection locked="0"/>
    </xf>
    <xf numFmtId="165" fontId="7" fillId="0" borderId="28" xfId="2" applyNumberFormat="1" applyFont="1" applyBorder="1" applyAlignment="1" applyProtection="1">
      <alignment horizontal="right"/>
      <protection locked="0"/>
    </xf>
    <xf numFmtId="165" fontId="7" fillId="0" borderId="29" xfId="2" applyNumberFormat="1" applyFont="1" applyBorder="1" applyAlignment="1" applyProtection="1">
      <alignment horizontal="right"/>
      <protection locked="0"/>
    </xf>
    <xf numFmtId="0" fontId="9" fillId="3" borderId="21" xfId="1" applyFont="1" applyFill="1" applyBorder="1"/>
    <xf numFmtId="165" fontId="9" fillId="3" borderId="30" xfId="2" applyNumberFormat="1" applyFont="1" applyFill="1" applyBorder="1" applyAlignment="1">
      <alignment horizontal="right"/>
    </xf>
    <xf numFmtId="0" fontId="9" fillId="3" borderId="2" xfId="1" applyFont="1" applyFill="1" applyBorder="1" applyAlignment="1">
      <alignment horizontal="left"/>
    </xf>
    <xf numFmtId="165" fontId="9" fillId="3" borderId="2" xfId="2" applyNumberFormat="1" applyFont="1" applyFill="1" applyBorder="1" applyAlignment="1" applyProtection="1">
      <alignment horizontal="right"/>
      <protection locked="0"/>
    </xf>
    <xf numFmtId="165" fontId="9" fillId="3" borderId="3" xfId="2" applyNumberFormat="1" applyFont="1" applyFill="1" applyBorder="1" applyAlignment="1" applyProtection="1">
      <alignment horizontal="right"/>
      <protection locked="0"/>
    </xf>
    <xf numFmtId="165" fontId="9" fillId="3" borderId="4" xfId="2" applyNumberFormat="1" applyFont="1" applyFill="1" applyBorder="1" applyAlignment="1" applyProtection="1">
      <alignment horizontal="right"/>
      <protection locked="0"/>
    </xf>
    <xf numFmtId="165" fontId="9" fillId="3" borderId="5" xfId="2" applyNumberFormat="1" applyFont="1" applyFill="1" applyBorder="1" applyAlignment="1" applyProtection="1">
      <alignment horizontal="right"/>
      <protection locked="0"/>
    </xf>
    <xf numFmtId="165" fontId="7" fillId="0" borderId="0" xfId="2" applyNumberFormat="1" applyFont="1" applyAlignment="1">
      <alignment horizontal="right"/>
    </xf>
    <xf numFmtId="9" fontId="7" fillId="0" borderId="0" xfId="3" applyFont="1" applyAlignment="1">
      <alignment horizontal="right"/>
    </xf>
    <xf numFmtId="166" fontId="7" fillId="0" borderId="0" xfId="3" applyNumberFormat="1" applyFont="1" applyAlignment="1">
      <alignment horizontal="right"/>
    </xf>
    <xf numFmtId="165" fontId="9" fillId="0" borderId="23" xfId="2" applyNumberFormat="1" applyFont="1" applyBorder="1" applyAlignment="1">
      <alignment horizontal="right" vertical="top" wrapText="1"/>
    </xf>
    <xf numFmtId="166" fontId="9" fillId="0" borderId="23" xfId="3" applyNumberFormat="1" applyFont="1" applyBorder="1" applyAlignment="1">
      <alignment horizontal="right" vertical="top" wrapText="1"/>
    </xf>
    <xf numFmtId="0" fontId="9" fillId="3" borderId="21" xfId="1" applyFont="1" applyFill="1" applyBorder="1" applyAlignment="1">
      <alignment vertical="top" wrapText="1"/>
    </xf>
    <xf numFmtId="0" fontId="7" fillId="0" borderId="31" xfId="1" applyFont="1" applyBorder="1" applyAlignment="1">
      <alignment horizontal="left" indent="1"/>
    </xf>
    <xf numFmtId="0" fontId="7" fillId="0" borderId="32" xfId="1" applyFont="1" applyBorder="1" applyAlignment="1">
      <alignment horizontal="left" indent="1"/>
    </xf>
    <xf numFmtId="0" fontId="7" fillId="0" borderId="0" xfId="1" applyFont="1" applyAlignment="1">
      <alignment horizontal="center" vertical="top" wrapText="1"/>
    </xf>
    <xf numFmtId="165" fontId="7" fillId="0" borderId="0" xfId="2" applyNumberFormat="1" applyFont="1" applyAlignment="1">
      <alignment horizontal="right" vertical="top" wrapText="1"/>
    </xf>
    <xf numFmtId="165" fontId="7" fillId="0" borderId="23" xfId="2" applyNumberFormat="1" applyFont="1" applyBorder="1" applyAlignment="1">
      <alignment horizontal="right" vertical="top" wrapText="1"/>
    </xf>
    <xf numFmtId="165" fontId="7" fillId="0" borderId="10" xfId="2" applyNumberFormat="1" applyFont="1" applyBorder="1" applyAlignment="1" applyProtection="1">
      <alignment horizontal="right" vertical="top" wrapText="1"/>
      <protection locked="0"/>
    </xf>
    <xf numFmtId="165" fontId="7" fillId="0" borderId="11" xfId="2" applyNumberFormat="1" applyFont="1" applyBorder="1" applyAlignment="1" applyProtection="1">
      <alignment horizontal="right" vertical="top" wrapText="1"/>
      <protection locked="0"/>
    </xf>
    <xf numFmtId="165" fontId="7" fillId="0" borderId="12" xfId="2" applyNumberFormat="1" applyFont="1" applyBorder="1" applyAlignment="1" applyProtection="1">
      <alignment horizontal="right" vertical="top" wrapText="1"/>
      <protection locked="0"/>
    </xf>
    <xf numFmtId="165" fontId="7" fillId="0" borderId="13" xfId="2" applyNumberFormat="1" applyFont="1" applyBorder="1" applyAlignment="1" applyProtection="1">
      <alignment horizontal="right" vertical="top" wrapText="1"/>
      <protection locked="0"/>
    </xf>
    <xf numFmtId="165" fontId="7" fillId="0" borderId="14" xfId="2" applyNumberFormat="1" applyFont="1" applyBorder="1" applyAlignment="1" applyProtection="1">
      <alignment horizontal="right" vertical="top" wrapText="1"/>
      <protection locked="0"/>
    </xf>
    <xf numFmtId="165" fontId="7" fillId="0" borderId="15" xfId="2" applyNumberFormat="1" applyFont="1" applyBorder="1" applyAlignment="1" applyProtection="1">
      <alignment horizontal="right" vertical="top" wrapText="1"/>
      <protection locked="0"/>
    </xf>
    <xf numFmtId="165" fontId="7" fillId="0" borderId="0" xfId="2" applyNumberFormat="1" applyFont="1" applyAlignment="1" applyProtection="1">
      <alignment horizontal="right" vertical="top" wrapText="1"/>
      <protection locked="0"/>
    </xf>
    <xf numFmtId="165" fontId="7" fillId="0" borderId="16" xfId="2" applyNumberFormat="1" applyFont="1" applyBorder="1" applyAlignment="1" applyProtection="1">
      <alignment horizontal="right" vertical="top" wrapText="1"/>
      <protection locked="0"/>
    </xf>
    <xf numFmtId="165" fontId="7" fillId="0" borderId="17" xfId="2" applyNumberFormat="1" applyFont="1" applyBorder="1" applyAlignment="1" applyProtection="1">
      <alignment horizontal="right" vertical="top" wrapText="1"/>
      <protection locked="0"/>
    </xf>
    <xf numFmtId="165" fontId="7" fillId="0" borderId="18" xfId="2" applyNumberFormat="1" applyFont="1" applyBorder="1" applyAlignment="1" applyProtection="1">
      <alignment horizontal="right" vertical="top" wrapText="1"/>
      <protection locked="0"/>
    </xf>
    <xf numFmtId="165" fontId="7" fillId="0" borderId="19" xfId="2" applyNumberFormat="1" applyFont="1" applyBorder="1" applyAlignment="1" applyProtection="1">
      <alignment horizontal="right" vertical="top" wrapText="1"/>
      <protection locked="0"/>
    </xf>
    <xf numFmtId="165" fontId="7" fillId="0" borderId="20" xfId="2" applyNumberFormat="1" applyFont="1" applyBorder="1" applyAlignment="1" applyProtection="1">
      <alignment horizontal="right" vertical="top" wrapText="1"/>
      <protection locked="0"/>
    </xf>
    <xf numFmtId="0" fontId="9" fillId="3" borderId="33" xfId="1" applyFont="1" applyFill="1" applyBorder="1" applyAlignment="1">
      <alignment vertical="top" wrapText="1"/>
    </xf>
    <xf numFmtId="165" fontId="9" fillId="3" borderId="33" xfId="2" applyNumberFormat="1" applyFont="1" applyFill="1" applyBorder="1" applyAlignment="1">
      <alignment horizontal="right"/>
    </xf>
    <xf numFmtId="165" fontId="9" fillId="3" borderId="34" xfId="2" applyNumberFormat="1" applyFont="1" applyFill="1" applyBorder="1" applyAlignment="1">
      <alignment horizontal="right"/>
    </xf>
    <xf numFmtId="165" fontId="9" fillId="3" borderId="35" xfId="2" applyNumberFormat="1" applyFont="1" applyFill="1" applyBorder="1" applyAlignment="1">
      <alignment horizontal="right"/>
    </xf>
    <xf numFmtId="165" fontId="9" fillId="3" borderId="36" xfId="2" applyNumberFormat="1" applyFont="1" applyFill="1" applyBorder="1" applyAlignment="1">
      <alignment horizontal="right"/>
    </xf>
    <xf numFmtId="0" fontId="9" fillId="0" borderId="12" xfId="1" applyFont="1" applyBorder="1" applyAlignment="1">
      <alignment vertical="top" wrapText="1"/>
    </xf>
    <xf numFmtId="165" fontId="9" fillId="0" borderId="0" xfId="2" applyNumberFormat="1" applyFont="1" applyAlignment="1">
      <alignment horizontal="right" vertical="top" wrapText="1"/>
    </xf>
    <xf numFmtId="165" fontId="9" fillId="0" borderId="12" xfId="2" applyNumberFormat="1" applyFont="1" applyBorder="1" applyAlignment="1">
      <alignment horizontal="right" vertical="top" wrapText="1"/>
    </xf>
    <xf numFmtId="0" fontId="9" fillId="3" borderId="2" xfId="1" applyFont="1" applyFill="1" applyBorder="1" applyAlignment="1">
      <alignment vertical="top" wrapText="1"/>
    </xf>
    <xf numFmtId="165" fontId="9" fillId="3" borderId="2" xfId="2" applyNumberFormat="1" applyFont="1" applyFill="1" applyBorder="1" applyAlignment="1">
      <alignment horizontal="right"/>
    </xf>
    <xf numFmtId="165" fontId="9" fillId="3" borderId="3" xfId="2" applyNumberFormat="1" applyFont="1" applyFill="1" applyBorder="1" applyAlignment="1">
      <alignment horizontal="right"/>
    </xf>
    <xf numFmtId="165" fontId="9" fillId="3" borderId="4" xfId="2" applyNumberFormat="1" applyFont="1" applyFill="1" applyBorder="1" applyAlignment="1">
      <alignment horizontal="right"/>
    </xf>
    <xf numFmtId="165" fontId="9" fillId="3" borderId="5" xfId="2" applyNumberFormat="1" applyFont="1" applyFill="1" applyBorder="1" applyAlignment="1">
      <alignment horizontal="right"/>
    </xf>
    <xf numFmtId="0" fontId="12" fillId="10" borderId="1" xfId="1" applyFont="1" applyFill="1" applyBorder="1"/>
    <xf numFmtId="165" fontId="7" fillId="0" borderId="0" xfId="1" applyNumberFormat="1" applyFont="1"/>
    <xf numFmtId="165" fontId="7" fillId="0" borderId="37" xfId="2" applyNumberFormat="1" applyFont="1" applyBorder="1" applyAlignment="1" applyProtection="1">
      <alignment horizontal="right" vertical="top" wrapText="1"/>
      <protection locked="0"/>
    </xf>
    <xf numFmtId="0" fontId="7" fillId="0" borderId="38" xfId="1" applyFont="1" applyBorder="1" applyAlignment="1">
      <alignment horizontal="left" indent="1"/>
    </xf>
    <xf numFmtId="165" fontId="7" fillId="0" borderId="39" xfId="2" applyNumberFormat="1" applyFont="1" applyBorder="1" applyAlignment="1" applyProtection="1">
      <alignment horizontal="right" vertical="top" wrapText="1"/>
      <protection locked="0"/>
    </xf>
    <xf numFmtId="165" fontId="7" fillId="0" borderId="40" xfId="2" applyNumberFormat="1" applyFont="1" applyBorder="1" applyAlignment="1" applyProtection="1">
      <alignment horizontal="right" vertical="top" wrapText="1"/>
      <protection locked="0"/>
    </xf>
    <xf numFmtId="165" fontId="7" fillId="0" borderId="41" xfId="2" applyNumberFormat="1" applyFont="1" applyBorder="1" applyAlignment="1" applyProtection="1">
      <alignment horizontal="right" vertical="top" wrapText="1"/>
      <protection locked="0"/>
    </xf>
    <xf numFmtId="165" fontId="7" fillId="0" borderId="42" xfId="2" applyNumberFormat="1" applyFont="1" applyBorder="1" applyAlignment="1" applyProtection="1">
      <alignment horizontal="right" vertical="top" wrapText="1"/>
      <protection locked="0"/>
    </xf>
    <xf numFmtId="0" fontId="7" fillId="0" borderId="43" xfId="1" applyFont="1" applyBorder="1" applyAlignment="1">
      <alignment horizontal="left" indent="1"/>
    </xf>
    <xf numFmtId="165" fontId="7" fillId="0" borderId="44" xfId="2" applyNumberFormat="1" applyFont="1" applyBorder="1" applyAlignment="1" applyProtection="1">
      <alignment horizontal="right" vertical="top" wrapText="1"/>
      <protection locked="0"/>
    </xf>
    <xf numFmtId="165" fontId="7" fillId="0" borderId="22" xfId="2" applyNumberFormat="1" applyFont="1" applyBorder="1" applyAlignment="1" applyProtection="1">
      <alignment horizontal="right" vertical="top" wrapText="1"/>
      <protection locked="0"/>
    </xf>
    <xf numFmtId="165" fontId="7" fillId="0" borderId="23" xfId="2" applyNumberFormat="1" applyFont="1" applyBorder="1" applyAlignment="1" applyProtection="1">
      <alignment horizontal="right" vertical="top" wrapText="1"/>
      <protection locked="0"/>
    </xf>
    <xf numFmtId="165" fontId="7" fillId="0" borderId="30" xfId="2" applyNumberFormat="1" applyFont="1" applyBorder="1" applyAlignment="1" applyProtection="1">
      <alignment horizontal="right" vertical="top" wrapText="1"/>
      <protection locked="0"/>
    </xf>
    <xf numFmtId="0" fontId="12" fillId="2" borderId="1" xfId="1" applyFont="1" applyFill="1" applyBorder="1" applyAlignment="1" applyProtection="1">
      <alignment horizontal="center"/>
      <protection locked="0"/>
    </xf>
    <xf numFmtId="0" fontId="8" fillId="9" borderId="1" xfId="1" applyFont="1" applyFill="1" applyBorder="1" applyAlignment="1">
      <alignment horizontal="center"/>
    </xf>
    <xf numFmtId="0" fontId="17" fillId="0" borderId="0" xfId="0" applyFont="1"/>
    <xf numFmtId="164" fontId="7" fillId="0" borderId="0" xfId="2" applyFont="1" applyFill="1" applyBorder="1" applyAlignment="1" applyProtection="1">
      <alignment horizontal="right" vertical="top" wrapText="1"/>
      <protection locked="0"/>
    </xf>
    <xf numFmtId="0" fontId="8" fillId="13" borderId="1" xfId="1" applyFont="1" applyFill="1" applyBorder="1" applyAlignment="1">
      <alignment horizontal="center"/>
    </xf>
    <xf numFmtId="0" fontId="12" fillId="10" borderId="79" xfId="1" applyFont="1" applyFill="1" applyBorder="1" applyAlignment="1">
      <alignment horizontal="center"/>
    </xf>
    <xf numFmtId="0" fontId="8" fillId="14" borderId="1" xfId="1" applyFont="1" applyFill="1" applyBorder="1" applyAlignment="1">
      <alignment horizontal="center"/>
    </xf>
    <xf numFmtId="0" fontId="12" fillId="0" borderId="1" xfId="1" applyFont="1" applyBorder="1" applyAlignment="1" applyProtection="1">
      <alignment horizontal="center" wrapText="1"/>
      <protection locked="0"/>
    </xf>
    <xf numFmtId="0" fontId="7" fillId="0" borderId="0" xfId="1" applyFont="1" applyBorder="1"/>
    <xf numFmtId="165" fontId="7" fillId="0" borderId="0" xfId="2" applyNumberFormat="1" applyFont="1" applyBorder="1"/>
    <xf numFmtId="166" fontId="7" fillId="0" borderId="31" xfId="8" applyNumberFormat="1" applyFont="1" applyBorder="1" applyAlignment="1" applyProtection="1">
      <alignment horizontal="right"/>
      <protection locked="0"/>
    </xf>
    <xf numFmtId="166" fontId="7" fillId="0" borderId="37" xfId="8" applyNumberFormat="1" applyFont="1" applyBorder="1" applyAlignment="1" applyProtection="1">
      <protection locked="0"/>
    </xf>
    <xf numFmtId="166" fontId="7" fillId="0" borderId="11" xfId="8" applyNumberFormat="1" applyFont="1" applyBorder="1" applyAlignment="1" applyProtection="1">
      <alignment horizontal="right"/>
      <protection locked="0"/>
    </xf>
    <xf numFmtId="166" fontId="7" fillId="0" borderId="37" xfId="8" applyNumberFormat="1" applyFont="1" applyBorder="1" applyAlignment="1" applyProtection="1">
      <alignment horizontal="right"/>
      <protection locked="0"/>
    </xf>
    <xf numFmtId="166" fontId="7" fillId="0" borderId="32" xfId="8" applyNumberFormat="1" applyFont="1" applyBorder="1" applyAlignment="1" applyProtection="1">
      <alignment horizontal="right"/>
      <protection locked="0"/>
    </xf>
    <xf numFmtId="166" fontId="7" fillId="0" borderId="94" xfId="8" applyNumberFormat="1" applyFont="1" applyBorder="1" applyAlignment="1" applyProtection="1">
      <protection locked="0"/>
    </xf>
    <xf numFmtId="166" fontId="7" fillId="0" borderId="15" xfId="8" applyNumberFormat="1" applyFont="1" applyBorder="1" applyAlignment="1" applyProtection="1">
      <alignment horizontal="right"/>
      <protection locked="0"/>
    </xf>
    <xf numFmtId="166" fontId="7" fillId="0" borderId="94" xfId="8" applyNumberFormat="1" applyFont="1" applyBorder="1" applyAlignment="1" applyProtection="1">
      <alignment horizontal="right"/>
      <protection locked="0"/>
    </xf>
    <xf numFmtId="166" fontId="7" fillId="0" borderId="102" xfId="8" applyNumberFormat="1" applyFont="1" applyBorder="1" applyAlignment="1" applyProtection="1">
      <protection locked="0"/>
    </xf>
    <xf numFmtId="166" fontId="7" fillId="0" borderId="18" xfId="8" applyNumberFormat="1" applyFont="1" applyBorder="1" applyAlignment="1" applyProtection="1">
      <alignment horizontal="right"/>
      <protection locked="0"/>
    </xf>
    <xf numFmtId="166" fontId="7" fillId="0" borderId="102" xfId="8" applyNumberFormat="1" applyFont="1" applyBorder="1" applyAlignment="1" applyProtection="1">
      <alignment horizontal="right"/>
      <protection locked="0"/>
    </xf>
    <xf numFmtId="166" fontId="9" fillId="3" borderId="43" xfId="8" applyNumberFormat="1" applyFont="1" applyFill="1" applyBorder="1" applyAlignment="1">
      <alignment horizontal="right"/>
    </xf>
    <xf numFmtId="166" fontId="9" fillId="3" borderId="44" xfId="8" applyNumberFormat="1" applyFont="1" applyFill="1" applyBorder="1" applyAlignment="1">
      <alignment vertical="top"/>
    </xf>
    <xf numFmtId="166" fontId="9" fillId="3" borderId="22" xfId="8" applyNumberFormat="1" applyFont="1" applyFill="1" applyBorder="1" applyAlignment="1">
      <alignment horizontal="right"/>
    </xf>
    <xf numFmtId="166" fontId="9" fillId="3" borderId="44" xfId="8" applyNumberFormat="1" applyFont="1" applyFill="1" applyBorder="1" applyAlignment="1">
      <alignment horizontal="right"/>
    </xf>
    <xf numFmtId="166" fontId="7" fillId="0" borderId="100" xfId="8" applyNumberFormat="1" applyFont="1" applyBorder="1" applyAlignment="1" applyProtection="1">
      <alignment horizontal="right"/>
      <protection locked="0"/>
    </xf>
    <xf numFmtId="166" fontId="7" fillId="0" borderId="103" xfId="8" applyNumberFormat="1" applyFont="1" applyBorder="1" applyAlignment="1" applyProtection="1">
      <protection locked="0"/>
    </xf>
    <xf numFmtId="166" fontId="7" fillId="0" borderId="27" xfId="8" applyNumberFormat="1" applyFont="1" applyBorder="1" applyAlignment="1" applyProtection="1">
      <alignment horizontal="right"/>
      <protection locked="0"/>
    </xf>
    <xf numFmtId="166" fontId="7" fillId="0" borderId="103" xfId="8" applyNumberFormat="1" applyFont="1" applyBorder="1" applyAlignment="1" applyProtection="1">
      <alignment horizontal="right"/>
      <protection locked="0"/>
    </xf>
    <xf numFmtId="166" fontId="9" fillId="3" borderId="44" xfId="8" applyNumberFormat="1" applyFont="1" applyFill="1" applyBorder="1" applyAlignment="1"/>
    <xf numFmtId="166" fontId="9" fillId="3" borderId="1" xfId="8" applyNumberFormat="1" applyFont="1" applyFill="1" applyBorder="1" applyAlignment="1" applyProtection="1">
      <alignment horizontal="right"/>
      <protection locked="0"/>
    </xf>
    <xf numFmtId="166" fontId="9" fillId="3" borderId="71" xfId="8" applyNumberFormat="1" applyFont="1" applyFill="1" applyBorder="1" applyAlignment="1" applyProtection="1">
      <protection locked="0"/>
    </xf>
    <xf numFmtId="166" fontId="9" fillId="3" borderId="3" xfId="8" applyNumberFormat="1" applyFont="1" applyFill="1" applyBorder="1" applyAlignment="1" applyProtection="1">
      <alignment horizontal="right"/>
      <protection locked="0"/>
    </xf>
    <xf numFmtId="166" fontId="9" fillId="3" borderId="71" xfId="8" applyNumberFormat="1" applyFont="1" applyFill="1" applyBorder="1" applyAlignment="1" applyProtection="1">
      <alignment horizontal="right"/>
      <protection locked="0"/>
    </xf>
    <xf numFmtId="10" fontId="7" fillId="0" borderId="94" xfId="8" applyNumberFormat="1" applyFont="1" applyBorder="1" applyAlignment="1" applyProtection="1">
      <protection locked="0"/>
    </xf>
    <xf numFmtId="166" fontId="7" fillId="0" borderId="101" xfId="8" applyNumberFormat="1" applyFont="1" applyBorder="1" applyAlignment="1" applyProtection="1">
      <alignment horizontal="right"/>
      <protection locked="0"/>
    </xf>
    <xf numFmtId="0" fontId="12" fillId="10" borderId="2" xfId="1" applyFont="1" applyFill="1" applyBorder="1" applyAlignment="1">
      <alignment horizontal="center" vertical="center"/>
    </xf>
    <xf numFmtId="0" fontId="8" fillId="15" borderId="1" xfId="1" applyFont="1" applyFill="1" applyBorder="1" applyAlignment="1">
      <alignment horizontal="center"/>
    </xf>
    <xf numFmtId="165" fontId="7" fillId="0" borderId="0" xfId="2" applyNumberFormat="1" applyFont="1" applyBorder="1" applyAlignment="1">
      <alignment horizontal="right"/>
    </xf>
    <xf numFmtId="165" fontId="7" fillId="0" borderId="46" xfId="2" applyNumberFormat="1" applyFont="1" applyBorder="1" applyAlignment="1" applyProtection="1">
      <alignment horizontal="right"/>
      <protection locked="0"/>
    </xf>
    <xf numFmtId="165" fontId="7" fillId="0" borderId="82" xfId="2" applyNumberFormat="1" applyFont="1" applyBorder="1" applyAlignment="1" applyProtection="1">
      <alignment horizontal="right"/>
      <protection locked="0"/>
    </xf>
    <xf numFmtId="165" fontId="7" fillId="0" borderId="83" xfId="2" applyNumberFormat="1" applyFont="1" applyBorder="1" applyAlignment="1" applyProtection="1">
      <alignment horizontal="right"/>
      <protection locked="0"/>
    </xf>
    <xf numFmtId="165" fontId="7" fillId="0" borderId="12" xfId="2" applyNumberFormat="1" applyFont="1" applyBorder="1" applyAlignment="1">
      <alignment horizontal="right" vertical="top" wrapText="1"/>
    </xf>
    <xf numFmtId="165" fontId="7" fillId="0" borderId="0" xfId="2" applyNumberFormat="1" applyFont="1" applyBorder="1" applyAlignment="1">
      <alignment horizontal="right" vertical="top" wrapText="1"/>
    </xf>
    <xf numFmtId="165" fontId="7" fillId="0" borderId="46" xfId="2" applyNumberFormat="1" applyFont="1" applyBorder="1" applyAlignment="1" applyProtection="1">
      <alignment horizontal="right" vertical="top" wrapText="1"/>
      <protection locked="0"/>
    </xf>
    <xf numFmtId="165" fontId="7" fillId="0" borderId="82" xfId="2" applyNumberFormat="1" applyFont="1" applyBorder="1" applyAlignment="1" applyProtection="1">
      <alignment horizontal="right" vertical="top" wrapText="1"/>
      <protection locked="0"/>
    </xf>
    <xf numFmtId="165" fontId="7" fillId="0" borderId="83" xfId="2" applyNumberFormat="1" applyFont="1" applyBorder="1" applyAlignment="1" applyProtection="1">
      <alignment horizontal="right" vertical="top" wrapText="1"/>
      <protection locked="0"/>
    </xf>
    <xf numFmtId="165" fontId="9" fillId="3" borderId="84" xfId="2" applyNumberFormat="1" applyFont="1" applyFill="1" applyBorder="1" applyAlignment="1">
      <alignment horizontal="right"/>
    </xf>
    <xf numFmtId="165" fontId="9" fillId="0" borderId="0" xfId="2" applyNumberFormat="1" applyFont="1" applyBorder="1" applyAlignment="1">
      <alignment horizontal="right" vertical="top" wrapText="1"/>
    </xf>
    <xf numFmtId="165" fontId="9" fillId="0" borderId="4" xfId="2" applyNumberFormat="1" applyFont="1" applyBorder="1" applyAlignment="1">
      <alignment horizontal="right" vertical="top" wrapText="1"/>
    </xf>
    <xf numFmtId="165" fontId="9" fillId="3" borderId="45" xfId="2" applyNumberFormat="1" applyFont="1" applyFill="1" applyBorder="1" applyAlignment="1">
      <alignment horizontal="right"/>
    </xf>
    <xf numFmtId="165" fontId="9" fillId="0" borderId="21" xfId="2" applyNumberFormat="1" applyFont="1" applyBorder="1" applyAlignment="1">
      <alignment horizontal="right" vertical="top" wrapText="1"/>
    </xf>
    <xf numFmtId="165" fontId="7" fillId="0" borderId="12" xfId="2" applyNumberFormat="1" applyFont="1" applyBorder="1" applyAlignment="1">
      <alignment horizontal="right"/>
    </xf>
    <xf numFmtId="0" fontId="7" fillId="0" borderId="10" xfId="1" applyFont="1" applyBorder="1"/>
    <xf numFmtId="165" fontId="7" fillId="0" borderId="21" xfId="2" applyNumberFormat="1" applyFont="1" applyBorder="1"/>
    <xf numFmtId="0" fontId="7" fillId="0" borderId="12" xfId="1" applyFont="1" applyBorder="1"/>
    <xf numFmtId="165" fontId="7" fillId="0" borderId="23" xfId="2" applyNumberFormat="1" applyFont="1" applyBorder="1"/>
    <xf numFmtId="166" fontId="9" fillId="3" borderId="106" xfId="8" applyNumberFormat="1" applyFont="1" applyFill="1" applyBorder="1" applyAlignment="1">
      <alignment horizontal="right"/>
    </xf>
    <xf numFmtId="0" fontId="12" fillId="0" borderId="1" xfId="1" applyFont="1" applyBorder="1" applyAlignment="1" applyProtection="1">
      <alignment horizontal="center" vertical="center" wrapText="1"/>
      <protection locked="0"/>
    </xf>
    <xf numFmtId="166" fontId="7" fillId="0" borderId="0" xfId="8" applyNumberFormat="1" applyFont="1" applyAlignment="1">
      <alignment horizontal="right" vertical="top" wrapText="1"/>
    </xf>
    <xf numFmtId="166" fontId="7" fillId="0" borderId="23" xfId="8" applyNumberFormat="1" applyFont="1" applyBorder="1" applyAlignment="1">
      <alignment horizontal="right" vertical="top" wrapText="1"/>
    </xf>
    <xf numFmtId="166" fontId="7" fillId="0" borderId="31" xfId="8" applyNumberFormat="1" applyFont="1" applyBorder="1" applyAlignment="1" applyProtection="1">
      <alignment horizontal="right" vertical="top" wrapText="1"/>
      <protection locked="0"/>
    </xf>
    <xf numFmtId="166" fontId="7" fillId="0" borderId="32" xfId="8" applyNumberFormat="1" applyFont="1" applyBorder="1" applyAlignment="1" applyProtection="1">
      <alignment horizontal="right" vertical="top" wrapText="1"/>
      <protection locked="0"/>
    </xf>
    <xf numFmtId="166" fontId="7" fillId="0" borderId="101" xfId="8" applyNumberFormat="1" applyFont="1" applyBorder="1" applyAlignment="1" applyProtection="1">
      <alignment horizontal="right" vertical="top" wrapText="1"/>
      <protection locked="0"/>
    </xf>
    <xf numFmtId="166" fontId="9" fillId="3" borderId="107" xfId="8" applyNumberFormat="1" applyFont="1" applyFill="1" applyBorder="1" applyAlignment="1">
      <alignment horizontal="right"/>
    </xf>
    <xf numFmtId="166" fontId="9" fillId="0" borderId="0" xfId="8" applyNumberFormat="1" applyFont="1" applyAlignment="1">
      <alignment horizontal="right" vertical="top" wrapText="1"/>
    </xf>
    <xf numFmtId="166" fontId="9" fillId="0" borderId="23" xfId="8" applyNumberFormat="1" applyFont="1" applyBorder="1" applyAlignment="1">
      <alignment horizontal="right" vertical="top" wrapText="1"/>
    </xf>
    <xf numFmtId="166" fontId="9" fillId="0" borderId="12" xfId="8" applyNumberFormat="1" applyFont="1" applyBorder="1" applyAlignment="1">
      <alignment horizontal="right" vertical="top" wrapText="1"/>
    </xf>
    <xf numFmtId="166" fontId="9" fillId="3" borderId="1" xfId="8" applyNumberFormat="1" applyFont="1" applyFill="1" applyBorder="1" applyAlignment="1">
      <alignment horizontal="right"/>
    </xf>
    <xf numFmtId="166" fontId="7" fillId="0" borderId="12" xfId="8" applyNumberFormat="1" applyFont="1" applyBorder="1" applyAlignment="1">
      <alignment horizontal="right" vertical="top" wrapText="1"/>
    </xf>
    <xf numFmtId="166" fontId="7" fillId="0" borderId="37" xfId="8" applyNumberFormat="1" applyFont="1" applyBorder="1" applyAlignment="1" applyProtection="1">
      <alignment horizontal="right" vertical="top" wrapText="1"/>
      <protection locked="0"/>
    </xf>
    <xf numFmtId="166" fontId="7" fillId="0" borderId="94" xfId="8" applyNumberFormat="1" applyFont="1" applyBorder="1" applyAlignment="1" applyProtection="1">
      <alignment horizontal="right" vertical="top" wrapText="1"/>
      <protection locked="0"/>
    </xf>
    <xf numFmtId="166" fontId="7" fillId="0" borderId="102" xfId="8" applyNumberFormat="1" applyFont="1" applyBorder="1" applyAlignment="1" applyProtection="1">
      <alignment horizontal="right" vertical="top" wrapText="1"/>
      <protection locked="0"/>
    </xf>
    <xf numFmtId="166" fontId="9" fillId="3" borderId="104" xfId="8" applyNumberFormat="1" applyFont="1" applyFill="1" applyBorder="1" applyAlignment="1">
      <alignment horizontal="right"/>
    </xf>
    <xf numFmtId="166" fontId="9" fillId="0" borderId="0" xfId="8" applyNumberFormat="1" applyFont="1" applyBorder="1" applyAlignment="1">
      <alignment horizontal="right" vertical="top" wrapText="1"/>
    </xf>
    <xf numFmtId="166" fontId="9" fillId="0" borderId="4" xfId="8" applyNumberFormat="1" applyFont="1" applyBorder="1" applyAlignment="1">
      <alignment horizontal="right" vertical="top" wrapText="1"/>
    </xf>
    <xf numFmtId="166" fontId="9" fillId="3" borderId="71" xfId="8" applyNumberFormat="1" applyFont="1" applyFill="1" applyBorder="1" applyAlignment="1">
      <alignment horizontal="right"/>
    </xf>
    <xf numFmtId="166" fontId="7" fillId="0" borderId="95" xfId="8" applyNumberFormat="1" applyFont="1" applyBorder="1" applyAlignment="1" applyProtection="1">
      <alignment horizontal="right" vertical="top" wrapText="1"/>
      <protection locked="0"/>
    </xf>
    <xf numFmtId="166" fontId="7" fillId="0" borderId="96" xfId="8" applyNumberFormat="1" applyFont="1" applyBorder="1" applyAlignment="1" applyProtection="1">
      <alignment horizontal="right" vertical="top" wrapText="1"/>
      <protection locked="0"/>
    </xf>
    <xf numFmtId="166" fontId="7" fillId="0" borderId="97" xfId="8" applyNumberFormat="1" applyFont="1" applyBorder="1" applyAlignment="1" applyProtection="1">
      <alignment horizontal="right" vertical="top" wrapText="1"/>
      <protection locked="0"/>
    </xf>
    <xf numFmtId="166" fontId="9" fillId="3" borderId="98" xfId="8" applyNumberFormat="1" applyFont="1" applyFill="1" applyBorder="1" applyAlignment="1">
      <alignment horizontal="right"/>
    </xf>
    <xf numFmtId="166" fontId="9" fillId="3" borderId="105" xfId="8" applyNumberFormat="1" applyFont="1" applyFill="1" applyBorder="1" applyAlignment="1">
      <alignment horizontal="right"/>
    </xf>
    <xf numFmtId="166" fontId="9" fillId="3" borderId="80" xfId="8" applyNumberFormat="1" applyFont="1" applyFill="1" applyBorder="1" applyAlignment="1">
      <alignment horizontal="right"/>
    </xf>
    <xf numFmtId="166" fontId="7" fillId="0" borderId="0" xfId="8" applyNumberFormat="1" applyFont="1" applyBorder="1" applyAlignment="1">
      <alignment horizontal="right" vertical="top" wrapText="1"/>
    </xf>
    <xf numFmtId="166" fontId="7" fillId="0" borderId="11" xfId="8" applyNumberFormat="1" applyFont="1" applyBorder="1" applyAlignment="1" applyProtection="1">
      <alignment horizontal="right" vertical="top" wrapText="1"/>
      <protection locked="0"/>
    </xf>
    <xf numFmtId="166" fontId="7" fillId="0" borderId="15" xfId="8" applyNumberFormat="1" applyFont="1" applyBorder="1" applyAlignment="1" applyProtection="1">
      <alignment horizontal="right" vertical="top" wrapText="1"/>
      <protection locked="0"/>
    </xf>
    <xf numFmtId="166" fontId="7" fillId="0" borderId="18" xfId="8" applyNumberFormat="1" applyFont="1" applyBorder="1" applyAlignment="1" applyProtection="1">
      <alignment horizontal="right" vertical="top" wrapText="1"/>
      <protection locked="0"/>
    </xf>
    <xf numFmtId="166" fontId="9" fillId="3" borderId="34" xfId="8" applyNumberFormat="1" applyFont="1" applyFill="1" applyBorder="1" applyAlignment="1">
      <alignment horizontal="right"/>
    </xf>
    <xf numFmtId="166" fontId="9" fillId="3" borderId="3" xfId="8" applyNumberFormat="1" applyFont="1" applyFill="1" applyBorder="1" applyAlignment="1">
      <alignment horizontal="right"/>
    </xf>
    <xf numFmtId="0" fontId="13" fillId="16" borderId="1" xfId="4" applyFont="1" applyFill="1" applyBorder="1"/>
    <xf numFmtId="0" fontId="13" fillId="17" borderId="1" xfId="4" applyFont="1" applyFill="1" applyBorder="1"/>
    <xf numFmtId="0" fontId="13" fillId="18" borderId="1" xfId="4" applyFont="1" applyFill="1" applyBorder="1"/>
    <xf numFmtId="165" fontId="7" fillId="5" borderId="10" xfId="2" applyNumberFormat="1" applyFont="1" applyFill="1" applyBorder="1" applyAlignment="1" applyProtection="1">
      <alignment horizontal="right"/>
      <protection locked="0"/>
    </xf>
    <xf numFmtId="165" fontId="7" fillId="5" borderId="11" xfId="2" applyNumberFormat="1" applyFont="1" applyFill="1" applyBorder="1" applyAlignment="1" applyProtection="1">
      <alignment horizontal="right"/>
      <protection locked="0"/>
    </xf>
    <xf numFmtId="165" fontId="7" fillId="5" borderId="12" xfId="2" applyNumberFormat="1" applyFont="1" applyFill="1" applyBorder="1" applyAlignment="1" applyProtection="1">
      <alignment horizontal="right"/>
      <protection locked="0"/>
    </xf>
    <xf numFmtId="165" fontId="7" fillId="5" borderId="13" xfId="2" applyNumberFormat="1" applyFont="1" applyFill="1" applyBorder="1" applyAlignment="1" applyProtection="1">
      <alignment horizontal="right"/>
      <protection locked="0"/>
    </xf>
    <xf numFmtId="165" fontId="7" fillId="5" borderId="14" xfId="2" applyNumberFormat="1" applyFont="1" applyFill="1" applyBorder="1" applyAlignment="1" applyProtection="1">
      <alignment horizontal="right"/>
      <protection locked="0"/>
    </xf>
    <xf numFmtId="165" fontId="7" fillId="5" borderId="15" xfId="2" applyNumberFormat="1" applyFont="1" applyFill="1" applyBorder="1" applyAlignment="1" applyProtection="1">
      <alignment horizontal="right"/>
      <protection locked="0"/>
    </xf>
    <xf numFmtId="165" fontId="7" fillId="5" borderId="0" xfId="2" applyNumberFormat="1" applyFont="1" applyFill="1" applyAlignment="1" applyProtection="1">
      <alignment horizontal="right"/>
      <protection locked="0"/>
    </xf>
    <xf numFmtId="165" fontId="7" fillId="5" borderId="16" xfId="2" applyNumberFormat="1" applyFont="1" applyFill="1" applyBorder="1" applyAlignment="1" applyProtection="1">
      <alignment horizontal="right"/>
      <protection locked="0"/>
    </xf>
    <xf numFmtId="165" fontId="7" fillId="5" borderId="17" xfId="2" applyNumberFormat="1" applyFont="1" applyFill="1" applyBorder="1" applyAlignment="1" applyProtection="1">
      <alignment horizontal="right"/>
      <protection locked="0"/>
    </xf>
    <xf numFmtId="165" fontId="7" fillId="5" borderId="18" xfId="2" applyNumberFormat="1" applyFont="1" applyFill="1" applyBorder="1" applyAlignment="1" applyProtection="1">
      <alignment horizontal="right"/>
      <protection locked="0"/>
    </xf>
    <xf numFmtId="165" fontId="7" fillId="5" borderId="19" xfId="2" applyNumberFormat="1" applyFont="1" applyFill="1" applyBorder="1" applyAlignment="1" applyProtection="1">
      <alignment horizontal="right"/>
      <protection locked="0"/>
    </xf>
    <xf numFmtId="165" fontId="7" fillId="5" borderId="20" xfId="2" applyNumberFormat="1" applyFont="1" applyFill="1" applyBorder="1" applyAlignment="1" applyProtection="1">
      <alignment horizontal="right"/>
      <protection locked="0"/>
    </xf>
    <xf numFmtId="165" fontId="7" fillId="5" borderId="26" xfId="2" applyNumberFormat="1" applyFont="1" applyFill="1" applyBorder="1" applyAlignment="1" applyProtection="1">
      <alignment horizontal="right"/>
      <protection locked="0"/>
    </xf>
    <xf numFmtId="165" fontId="7" fillId="5" borderId="27" xfId="2" applyNumberFormat="1" applyFont="1" applyFill="1" applyBorder="1" applyAlignment="1" applyProtection="1">
      <alignment horizontal="right"/>
      <protection locked="0"/>
    </xf>
    <xf numFmtId="165" fontId="7" fillId="5" borderId="28" xfId="2" applyNumberFormat="1" applyFont="1" applyFill="1" applyBorder="1" applyAlignment="1" applyProtection="1">
      <alignment horizontal="right"/>
      <protection locked="0"/>
    </xf>
    <xf numFmtId="165" fontId="7" fillId="5" borderId="29" xfId="2" applyNumberFormat="1" applyFont="1" applyFill="1" applyBorder="1" applyAlignment="1" applyProtection="1">
      <alignment horizontal="right"/>
      <protection locked="0"/>
    </xf>
    <xf numFmtId="165" fontId="7" fillId="5" borderId="10" xfId="2" applyNumberFormat="1" applyFont="1" applyFill="1" applyBorder="1" applyAlignment="1" applyProtection="1">
      <alignment horizontal="right" vertical="top" wrapText="1"/>
      <protection locked="0"/>
    </xf>
    <xf numFmtId="165" fontId="7" fillId="5" borderId="11" xfId="2" applyNumberFormat="1" applyFont="1" applyFill="1" applyBorder="1" applyAlignment="1" applyProtection="1">
      <alignment horizontal="right" vertical="top" wrapText="1"/>
      <protection locked="0"/>
    </xf>
    <xf numFmtId="165" fontId="7" fillId="5" borderId="12" xfId="2" applyNumberFormat="1" applyFont="1" applyFill="1" applyBorder="1" applyAlignment="1" applyProtection="1">
      <alignment horizontal="right" vertical="top" wrapText="1"/>
      <protection locked="0"/>
    </xf>
    <xf numFmtId="165" fontId="7" fillId="5" borderId="13" xfId="2" applyNumberFormat="1" applyFont="1" applyFill="1" applyBorder="1" applyAlignment="1" applyProtection="1">
      <alignment horizontal="right" vertical="top" wrapText="1"/>
      <protection locked="0"/>
    </xf>
    <xf numFmtId="165" fontId="7" fillId="5" borderId="14" xfId="2" applyNumberFormat="1" applyFont="1" applyFill="1" applyBorder="1" applyAlignment="1" applyProtection="1">
      <alignment horizontal="right" vertical="top" wrapText="1"/>
      <protection locked="0"/>
    </xf>
    <xf numFmtId="165" fontId="7" fillId="5" borderId="15" xfId="2" applyNumberFormat="1" applyFont="1" applyFill="1" applyBorder="1" applyAlignment="1" applyProtection="1">
      <alignment horizontal="right" vertical="top" wrapText="1"/>
      <protection locked="0"/>
    </xf>
    <xf numFmtId="165" fontId="7" fillId="5" borderId="0" xfId="2" applyNumberFormat="1" applyFont="1" applyFill="1" applyAlignment="1" applyProtection="1">
      <alignment horizontal="right" vertical="top" wrapText="1"/>
      <protection locked="0"/>
    </xf>
    <xf numFmtId="165" fontId="7" fillId="5" borderId="16" xfId="2" applyNumberFormat="1" applyFont="1" applyFill="1" applyBorder="1" applyAlignment="1" applyProtection="1">
      <alignment horizontal="right" vertical="top" wrapText="1"/>
      <protection locked="0"/>
    </xf>
    <xf numFmtId="165" fontId="7" fillId="5" borderId="17" xfId="2" applyNumberFormat="1" applyFont="1" applyFill="1" applyBorder="1" applyAlignment="1" applyProtection="1">
      <alignment horizontal="right" vertical="top" wrapText="1"/>
      <protection locked="0"/>
    </xf>
    <xf numFmtId="165" fontId="7" fillId="5" borderId="18" xfId="2" applyNumberFormat="1" applyFont="1" applyFill="1" applyBorder="1" applyAlignment="1" applyProtection="1">
      <alignment horizontal="right" vertical="top" wrapText="1"/>
      <protection locked="0"/>
    </xf>
    <xf numFmtId="165" fontId="7" fillId="5" borderId="19" xfId="2" applyNumberFormat="1" applyFont="1" applyFill="1" applyBorder="1" applyAlignment="1" applyProtection="1">
      <alignment horizontal="right" vertical="top" wrapText="1"/>
      <protection locked="0"/>
    </xf>
    <xf numFmtId="165" fontId="7" fillId="5" borderId="20" xfId="2" applyNumberFormat="1" applyFont="1" applyFill="1" applyBorder="1" applyAlignment="1" applyProtection="1">
      <alignment horizontal="right" vertical="top" wrapText="1"/>
      <protection locked="0"/>
    </xf>
    <xf numFmtId="165" fontId="7" fillId="5" borderId="37" xfId="2" applyNumberFormat="1" applyFont="1" applyFill="1" applyBorder="1" applyAlignment="1" applyProtection="1">
      <alignment horizontal="right" vertical="top" wrapText="1"/>
      <protection locked="0"/>
    </xf>
    <xf numFmtId="165" fontId="7" fillId="5" borderId="39" xfId="2" applyNumberFormat="1" applyFont="1" applyFill="1" applyBorder="1" applyAlignment="1" applyProtection="1">
      <alignment horizontal="right" vertical="top" wrapText="1"/>
      <protection locked="0"/>
    </xf>
    <xf numFmtId="165" fontId="7" fillId="5" borderId="40" xfId="2" applyNumberFormat="1" applyFont="1" applyFill="1" applyBorder="1" applyAlignment="1" applyProtection="1">
      <alignment horizontal="right" vertical="top" wrapText="1"/>
      <protection locked="0"/>
    </xf>
    <xf numFmtId="165" fontId="7" fillId="5" borderId="41" xfId="2" applyNumberFormat="1" applyFont="1" applyFill="1" applyBorder="1" applyAlignment="1" applyProtection="1">
      <alignment horizontal="right" vertical="top" wrapText="1"/>
      <protection locked="0"/>
    </xf>
    <xf numFmtId="165" fontId="7" fillId="5" borderId="42" xfId="2" applyNumberFormat="1" applyFont="1" applyFill="1" applyBorder="1" applyAlignment="1" applyProtection="1">
      <alignment horizontal="right" vertical="top" wrapText="1"/>
      <protection locked="0"/>
    </xf>
    <xf numFmtId="165" fontId="7" fillId="5" borderId="44" xfId="2" applyNumberFormat="1" applyFont="1" applyFill="1" applyBorder="1" applyAlignment="1" applyProtection="1">
      <alignment horizontal="right" vertical="top" wrapText="1"/>
      <protection locked="0"/>
    </xf>
    <xf numFmtId="165" fontId="7" fillId="5" borderId="22" xfId="2" applyNumberFormat="1" applyFont="1" applyFill="1" applyBorder="1" applyAlignment="1" applyProtection="1">
      <alignment horizontal="right" vertical="top" wrapText="1"/>
      <protection locked="0"/>
    </xf>
    <xf numFmtId="165" fontId="7" fillId="5" borderId="23" xfId="2" applyNumberFormat="1" applyFont="1" applyFill="1" applyBorder="1" applyAlignment="1" applyProtection="1">
      <alignment horizontal="right" vertical="top" wrapText="1"/>
      <protection locked="0"/>
    </xf>
    <xf numFmtId="165" fontId="7" fillId="5" borderId="30" xfId="2" applyNumberFormat="1" applyFont="1" applyFill="1" applyBorder="1" applyAlignment="1" applyProtection="1">
      <alignment horizontal="right" vertical="top" wrapText="1"/>
      <protection locked="0"/>
    </xf>
    <xf numFmtId="0" fontId="7" fillId="5" borderId="0" xfId="1" applyFont="1" applyFill="1" applyAlignment="1">
      <alignment vertical="center"/>
    </xf>
    <xf numFmtId="0" fontId="12" fillId="5" borderId="21" xfId="1" applyFont="1" applyFill="1" applyBorder="1" applyAlignment="1" applyProtection="1">
      <alignment horizontal="center" vertical="top" wrapText="1"/>
      <protection locked="0"/>
    </xf>
    <xf numFmtId="0" fontId="9" fillId="5" borderId="21" xfId="1" applyFont="1" applyFill="1" applyBorder="1"/>
    <xf numFmtId="164" fontId="7" fillId="5" borderId="6" xfId="2" applyFont="1" applyFill="1" applyBorder="1" applyAlignment="1" applyProtection="1">
      <alignment horizontal="right" vertical="top" wrapText="1"/>
      <protection locked="0"/>
    </xf>
    <xf numFmtId="164" fontId="7" fillId="5" borderId="7" xfId="2" applyFont="1" applyFill="1" applyBorder="1" applyAlignment="1" applyProtection="1">
      <alignment horizontal="right" vertical="top" wrapText="1"/>
      <protection locked="0"/>
    </xf>
    <xf numFmtId="164" fontId="7" fillId="5" borderId="8" xfId="2" applyFont="1" applyFill="1" applyBorder="1" applyAlignment="1" applyProtection="1">
      <alignment horizontal="right" vertical="top" wrapText="1"/>
      <protection locked="0"/>
    </xf>
    <xf numFmtId="164" fontId="7" fillId="5" borderId="9" xfId="2" applyFont="1" applyFill="1" applyBorder="1" applyAlignment="1" applyProtection="1">
      <alignment horizontal="right" vertical="top" wrapText="1"/>
      <protection locked="0"/>
    </xf>
    <xf numFmtId="0" fontId="12" fillId="5" borderId="1" xfId="1" applyFont="1" applyFill="1" applyBorder="1" applyAlignment="1" applyProtection="1">
      <alignment horizontal="center"/>
      <protection locked="0"/>
    </xf>
    <xf numFmtId="164" fontId="7" fillId="5" borderId="99" xfId="2" applyFont="1" applyFill="1" applyBorder="1" applyAlignment="1" applyProtection="1">
      <alignment horizontal="center" vertical="center" wrapText="1"/>
      <protection locked="0"/>
    </xf>
    <xf numFmtId="164" fontId="7" fillId="5" borderId="6" xfId="2" applyFont="1" applyFill="1" applyBorder="1" applyAlignment="1" applyProtection="1">
      <alignment horizontal="center" vertical="center" wrapText="1"/>
      <protection locked="0"/>
    </xf>
    <xf numFmtId="164" fontId="7" fillId="5" borderId="7" xfId="2" applyFont="1" applyFill="1" applyBorder="1" applyAlignment="1" applyProtection="1">
      <alignment horizontal="center" vertical="center" wrapText="1"/>
      <protection locked="0"/>
    </xf>
    <xf numFmtId="164" fontId="7" fillId="5" borderId="9" xfId="2" applyFont="1" applyFill="1" applyBorder="1" applyAlignment="1" applyProtection="1">
      <alignment horizontal="center" vertical="center" wrapText="1"/>
      <protection locked="0"/>
    </xf>
    <xf numFmtId="164" fontId="7" fillId="5" borderId="3" xfId="2" applyFont="1" applyFill="1" applyBorder="1" applyAlignment="1" applyProtection="1">
      <alignment horizontal="center" vertical="center" wrapText="1"/>
      <protection locked="0"/>
    </xf>
    <xf numFmtId="164" fontId="7" fillId="5" borderId="81" xfId="2" applyFont="1" applyFill="1" applyBorder="1" applyAlignment="1" applyProtection="1">
      <alignment horizontal="center" vertical="center" wrapText="1"/>
      <protection locked="0"/>
    </xf>
    <xf numFmtId="164" fontId="7" fillId="5" borderId="71" xfId="2" applyFont="1" applyFill="1" applyBorder="1" applyAlignment="1" applyProtection="1">
      <alignment horizontal="center" vertical="center" wrapText="1"/>
      <protection locked="0"/>
    </xf>
    <xf numFmtId="164" fontId="7" fillId="5" borderId="45" xfId="2" applyFont="1" applyFill="1" applyBorder="1" applyAlignment="1" applyProtection="1">
      <alignment horizontal="center" vertical="center" wrapText="1"/>
      <protection locked="0"/>
    </xf>
    <xf numFmtId="0" fontId="12" fillId="10" borderId="45" xfId="1" applyFont="1" applyFill="1" applyBorder="1" applyAlignment="1">
      <alignment horizontal="center" vertical="center"/>
    </xf>
    <xf numFmtId="0" fontId="9" fillId="19" borderId="1" xfId="1" applyFont="1" applyFill="1" applyBorder="1" applyAlignment="1">
      <alignment vertical="top" wrapText="1"/>
    </xf>
    <xf numFmtId="165" fontId="7" fillId="20" borderId="91" xfId="2" applyNumberFormat="1" applyFont="1" applyFill="1" applyBorder="1" applyAlignment="1">
      <alignment horizontal="center" vertical="top" wrapText="1"/>
    </xf>
    <xf numFmtId="165" fontId="7" fillId="20" borderId="92" xfId="2" applyNumberFormat="1" applyFont="1" applyFill="1" applyBorder="1" applyAlignment="1">
      <alignment horizontal="center" vertical="top" wrapText="1"/>
    </xf>
    <xf numFmtId="165" fontId="7" fillId="20" borderId="93" xfId="2" applyNumberFormat="1" applyFont="1" applyFill="1" applyBorder="1" applyAlignment="1">
      <alignment horizontal="center" vertical="top" wrapText="1"/>
    </xf>
    <xf numFmtId="165" fontId="7" fillId="20" borderId="88" xfId="2" applyNumberFormat="1" applyFont="1" applyFill="1" applyBorder="1" applyAlignment="1">
      <alignment horizontal="center" vertical="top" wrapText="1"/>
    </xf>
    <xf numFmtId="165" fontId="7" fillId="20" borderId="89" xfId="2" applyNumberFormat="1" applyFont="1" applyFill="1" applyBorder="1" applyAlignment="1">
      <alignment horizontal="center" vertical="top" wrapText="1"/>
    </xf>
    <xf numFmtId="165" fontId="7" fillId="20" borderId="90" xfId="2" applyNumberFormat="1" applyFont="1" applyFill="1" applyBorder="1" applyAlignment="1">
      <alignment horizontal="center" vertical="top" wrapText="1"/>
    </xf>
    <xf numFmtId="0" fontId="13" fillId="8" borderId="1" xfId="4" applyFont="1" applyFill="1" applyBorder="1"/>
    <xf numFmtId="0" fontId="8" fillId="8" borderId="1" xfId="1" applyFont="1" applyFill="1" applyBorder="1" applyAlignment="1">
      <alignment horizontal="center"/>
    </xf>
    <xf numFmtId="0" fontId="7" fillId="5" borderId="43" xfId="1" applyFont="1" applyFill="1" applyBorder="1" applyAlignment="1">
      <alignment vertical="center"/>
    </xf>
    <xf numFmtId="0" fontId="12" fillId="4" borderId="1" xfId="4" applyFont="1" applyFill="1" applyBorder="1" applyAlignment="1">
      <alignment horizontal="center"/>
    </xf>
    <xf numFmtId="0" fontId="8" fillId="21" borderId="1" xfId="1" applyFont="1" applyFill="1" applyBorder="1" applyAlignment="1">
      <alignment horizontal="center"/>
    </xf>
    <xf numFmtId="0" fontId="18" fillId="0" borderId="31" xfId="0" applyFont="1" applyBorder="1" applyAlignment="1">
      <alignment horizontal="left" indent="1"/>
    </xf>
    <xf numFmtId="0" fontId="18" fillId="0" borderId="32" xfId="0" applyFont="1" applyBorder="1" applyAlignment="1">
      <alignment horizontal="left" indent="1"/>
    </xf>
    <xf numFmtId="0" fontId="18" fillId="0" borderId="32" xfId="0" applyFont="1" applyBorder="1" applyAlignment="1">
      <alignment horizontal="left" indent="4"/>
    </xf>
    <xf numFmtId="0" fontId="20" fillId="3" borderId="106" xfId="0" applyFont="1" applyFill="1" applyBorder="1"/>
    <xf numFmtId="0" fontId="20" fillId="3" borderId="106" xfId="0" applyFont="1" applyFill="1" applyBorder="1" applyAlignment="1">
      <alignment horizontal="left"/>
    </xf>
    <xf numFmtId="175" fontId="7" fillId="5" borderId="56" xfId="5" applyNumberFormat="1" applyFont="1" applyFill="1" applyBorder="1"/>
    <xf numFmtId="0" fontId="12" fillId="0" borderId="4" xfId="1" applyFont="1" applyBorder="1" applyAlignment="1" applyProtection="1">
      <alignment horizontal="center" vertical="top" wrapText="1"/>
      <protection locked="0"/>
    </xf>
    <xf numFmtId="0" fontId="19" fillId="6" borderId="0" xfId="0" applyFont="1" applyFill="1" applyBorder="1" applyAlignment="1">
      <alignment horizontal="center" vertical="center"/>
    </xf>
    <xf numFmtId="0" fontId="0" fillId="6" borderId="0" xfId="0" applyFill="1" applyBorder="1"/>
    <xf numFmtId="165" fontId="0" fillId="6" borderId="0" xfId="0" applyNumberFormat="1" applyFill="1" applyBorder="1"/>
    <xf numFmtId="165" fontId="21" fillId="6" borderId="0" xfId="0" applyNumberFormat="1" applyFont="1" applyFill="1" applyBorder="1"/>
    <xf numFmtId="0" fontId="8" fillId="21" borderId="1" xfId="0" applyFont="1" applyFill="1" applyBorder="1" applyAlignment="1">
      <alignment horizontal="center" vertical="center"/>
    </xf>
    <xf numFmtId="0" fontId="8" fillId="21" borderId="2" xfId="0" applyFont="1" applyFill="1" applyBorder="1" applyAlignment="1">
      <alignment horizontal="center" vertical="center"/>
    </xf>
    <xf numFmtId="0" fontId="12" fillId="0" borderId="71" xfId="1" applyFont="1" applyBorder="1" applyAlignment="1" applyProtection="1">
      <alignment horizontal="center" vertical="top" wrapText="1"/>
      <protection locked="0"/>
    </xf>
    <xf numFmtId="165" fontId="18" fillId="5" borderId="108" xfId="0" applyNumberFormat="1" applyFont="1" applyFill="1" applyBorder="1"/>
    <xf numFmtId="165" fontId="18" fillId="5" borderId="109" xfId="0" applyNumberFormat="1" applyFont="1" applyFill="1" applyBorder="1"/>
    <xf numFmtId="165" fontId="18" fillId="5" borderId="110" xfId="0" applyNumberFormat="1" applyFont="1" applyFill="1" applyBorder="1"/>
    <xf numFmtId="165" fontId="20" fillId="5" borderId="111" xfId="0" applyNumberFormat="1" applyFont="1" applyFill="1" applyBorder="1"/>
    <xf numFmtId="165" fontId="20" fillId="5" borderId="112" xfId="0" applyNumberFormat="1" applyFont="1" applyFill="1" applyBorder="1"/>
    <xf numFmtId="165" fontId="20" fillId="5" borderId="113" xfId="0" applyNumberFormat="1" applyFont="1" applyFill="1" applyBorder="1"/>
    <xf numFmtId="165" fontId="18" fillId="3" borderId="114" xfId="0" applyNumberFormat="1" applyFont="1" applyFill="1" applyBorder="1"/>
    <xf numFmtId="165" fontId="18" fillId="3" borderId="115" xfId="0" applyNumberFormat="1" applyFont="1" applyFill="1" applyBorder="1"/>
    <xf numFmtId="165" fontId="18" fillId="3" borderId="116" xfId="0" applyNumberFormat="1" applyFont="1" applyFill="1" applyBorder="1"/>
    <xf numFmtId="165" fontId="18" fillId="5" borderId="111" xfId="0" applyNumberFormat="1" applyFont="1" applyFill="1" applyBorder="1"/>
    <xf numFmtId="165" fontId="18" fillId="5" borderId="112" xfId="0" applyNumberFormat="1" applyFont="1" applyFill="1" applyBorder="1"/>
    <xf numFmtId="165" fontId="18" fillId="5" borderId="113" xfId="0" applyNumberFormat="1" applyFont="1" applyFill="1" applyBorder="1"/>
    <xf numFmtId="0" fontId="18" fillId="0" borderId="0" xfId="0" applyFont="1"/>
    <xf numFmtId="0" fontId="7" fillId="0" borderId="117" xfId="4" applyFont="1" applyBorder="1" applyAlignment="1">
      <alignment horizontal="left" indent="1"/>
    </xf>
    <xf numFmtId="166" fontId="7" fillId="0" borderId="119" xfId="6" applyNumberFormat="1" applyFont="1" applyBorder="1"/>
    <xf numFmtId="166" fontId="7" fillId="0" borderId="120" xfId="6" applyNumberFormat="1" applyFont="1" applyBorder="1"/>
    <xf numFmtId="166" fontId="7" fillId="0" borderId="121" xfId="6" applyNumberFormat="1" applyFont="1" applyBorder="1"/>
    <xf numFmtId="0" fontId="7" fillId="4" borderId="60" xfId="4" applyFont="1" applyFill="1" applyBorder="1" applyAlignment="1">
      <alignment horizontal="left" indent="1"/>
    </xf>
    <xf numFmtId="166" fontId="7" fillId="5" borderId="56" xfId="8" applyNumberFormat="1" applyFont="1" applyFill="1" applyBorder="1" applyAlignment="1">
      <alignment horizontal="center" vertical="center"/>
    </xf>
    <xf numFmtId="166" fontId="7" fillId="0" borderId="118" xfId="8" applyNumberFormat="1" applyFont="1" applyBorder="1" applyAlignment="1">
      <alignment horizontal="center" vertical="center"/>
    </xf>
    <xf numFmtId="166" fontId="7" fillId="4" borderId="56" xfId="8" applyNumberFormat="1" applyFont="1" applyFill="1" applyBorder="1" applyAlignment="1">
      <alignment horizontal="center" vertical="center"/>
    </xf>
    <xf numFmtId="166" fontId="7" fillId="5" borderId="56" xfId="5" applyNumberFormat="1" applyFont="1" applyFill="1" applyBorder="1" applyAlignment="1">
      <alignment horizontal="center" vertical="center"/>
    </xf>
    <xf numFmtId="166" fontId="7" fillId="0" borderId="56" xfId="8" applyNumberFormat="1" applyFont="1" applyBorder="1" applyAlignment="1">
      <alignment horizontal="center" vertical="center"/>
    </xf>
    <xf numFmtId="0" fontId="7" fillId="4" borderId="122" xfId="4" applyFont="1" applyFill="1" applyBorder="1" applyAlignment="1">
      <alignment horizontal="center" vertical="center"/>
    </xf>
    <xf numFmtId="175" fontId="7" fillId="4" borderId="123" xfId="4" applyNumberFormat="1" applyFont="1" applyFill="1" applyBorder="1"/>
    <xf numFmtId="175" fontId="7" fillId="4" borderId="124" xfId="4" applyNumberFormat="1" applyFont="1" applyFill="1" applyBorder="1"/>
    <xf numFmtId="0" fontId="20" fillId="5" borderId="1" xfId="0" applyFont="1" applyFill="1" applyBorder="1" applyAlignment="1">
      <alignment horizontal="center"/>
    </xf>
    <xf numFmtId="0" fontId="20" fillId="5" borderId="2" xfId="0" applyFont="1" applyFill="1" applyBorder="1" applyAlignment="1">
      <alignment horizontal="center"/>
    </xf>
    <xf numFmtId="165" fontId="9" fillId="0" borderId="23" xfId="2" applyNumberFormat="1" applyFont="1" applyBorder="1"/>
    <xf numFmtId="0" fontId="20" fillId="5" borderId="1" xfId="0" applyFont="1" applyFill="1" applyBorder="1" applyAlignment="1">
      <alignment horizontal="center" vertical="center"/>
    </xf>
    <xf numFmtId="0" fontId="22" fillId="0" borderId="0" xfId="4" applyFont="1" applyFill="1"/>
    <xf numFmtId="164" fontId="11" fillId="11" borderId="2" xfId="5" applyFont="1" applyFill="1" applyBorder="1" applyAlignment="1">
      <alignment horizontal="center" vertical="center" wrapText="1"/>
    </xf>
    <xf numFmtId="164" fontId="11" fillId="11" borderId="45" xfId="5" applyFont="1" applyFill="1" applyBorder="1" applyAlignment="1">
      <alignment horizontal="center" vertical="center" wrapText="1"/>
    </xf>
    <xf numFmtId="164" fontId="11" fillId="16" borderId="2" xfId="5" applyFont="1" applyFill="1" applyBorder="1" applyAlignment="1">
      <alignment horizontal="center" vertical="center" wrapText="1"/>
    </xf>
    <xf numFmtId="164" fontId="11" fillId="16" borderId="45" xfId="5" applyFont="1" applyFill="1" applyBorder="1" applyAlignment="1">
      <alignment horizontal="center" vertical="center" wrapText="1"/>
    </xf>
    <xf numFmtId="0" fontId="12" fillId="0" borderId="2" xfId="1" applyFont="1" applyBorder="1" applyAlignment="1" applyProtection="1">
      <alignment horizontal="center" vertical="top" wrapText="1"/>
      <protection locked="0"/>
    </xf>
    <xf numFmtId="0" fontId="12" fillId="0" borderId="4" xfId="1" applyFont="1" applyBorder="1" applyAlignment="1" applyProtection="1">
      <alignment horizontal="center" vertical="top" wrapText="1"/>
      <protection locked="0"/>
    </xf>
    <xf numFmtId="0" fontId="12" fillId="0" borderId="45" xfId="1" applyFont="1" applyBorder="1" applyAlignment="1" applyProtection="1">
      <alignment horizontal="center" vertical="top" wrapText="1"/>
      <protection locked="0"/>
    </xf>
    <xf numFmtId="0" fontId="12" fillId="0" borderId="2" xfId="1" applyFont="1" applyBorder="1" applyAlignment="1" applyProtection="1">
      <alignment horizontal="center" vertical="center" wrapText="1"/>
      <protection locked="0"/>
    </xf>
    <xf numFmtId="0" fontId="12" fillId="0" borderId="4" xfId="1" applyFont="1" applyBorder="1" applyAlignment="1" applyProtection="1">
      <alignment horizontal="center" vertical="center" wrapText="1"/>
      <protection locked="0"/>
    </xf>
    <xf numFmtId="0" fontId="12" fillId="0" borderId="45" xfId="1" applyFont="1" applyBorder="1" applyAlignment="1" applyProtection="1">
      <alignment horizontal="center" vertical="center" wrapText="1"/>
      <protection locked="0"/>
    </xf>
  </cellXfs>
  <cellStyles count="10">
    <cellStyle name="Comma 2" xfId="2" xr:uid="{00000000-0005-0000-0000-000000000000}"/>
    <cellStyle name="Comma 3" xfId="5" xr:uid="{00CC4ED6-DD5B-43C6-B421-B35A24683D5A}"/>
    <cellStyle name="Currency 2" xfId="7" xr:uid="{74F8667C-3BB2-4C2B-B4F6-738298EA8214}"/>
    <cellStyle name="Moneda [0]" xfId="9" builtinId="7"/>
    <cellStyle name="Normal" xfId="0" builtinId="0"/>
    <cellStyle name="Normal 2" xfId="1" xr:uid="{00000000-0005-0000-0000-000002000000}"/>
    <cellStyle name="Normal 3" xfId="4" xr:uid="{447C2542-C53E-4E50-B446-C7A61EA8BD63}"/>
    <cellStyle name="Percent 2" xfId="3" xr:uid="{00000000-0005-0000-0000-000003000000}"/>
    <cellStyle name="Percent 3" xfId="6" xr:uid="{8DBF3B74-BA6A-4112-A803-ECAF83437711}"/>
    <cellStyle name="Porcentaje" xfId="8" builtinId="5"/>
  </cellStyles>
  <dxfs count="0"/>
  <tableStyles count="0" defaultTableStyle="TableStyleMedium2" defaultPivotStyle="PivotStyleLight16"/>
  <colors>
    <mruColors>
      <color rgb="FF0099FF"/>
      <color rgb="FF3399FF"/>
      <color rgb="FFEF8943"/>
      <color rgb="FFED7C2F"/>
      <color rgb="FFAF7943"/>
      <color rgb="FF916437"/>
      <color rgb="FF935935"/>
      <color rgb="FF7EB0DE"/>
      <color rgb="FF603A22"/>
      <color rgb="FF916A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9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0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7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8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636187607443329"/>
          <c:y val="0.12103548601727297"/>
          <c:w val="0.52606235914704347"/>
          <c:h val="0.52163902828839093"/>
        </c:manualLayout>
      </c:layout>
      <c:barChart>
        <c:barDir val="col"/>
        <c:grouping val="clustered"/>
        <c:varyColors val="0"/>
        <c:ser>
          <c:idx val="1"/>
          <c:order val="2"/>
          <c:tx>
            <c:v>Multiplicador de Capital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'Resumen Ejecutivo'!$D$4:$J$4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'Resumen Ejecutivo'!$D$10:$J$10</c:f>
              <c:numCache>
                <c:formatCode>#,##0.00" x"</c:formatCode>
                <c:ptCount val="7"/>
                <c:pt idx="0">
                  <c:v>1.219313795017559</c:v>
                </c:pt>
                <c:pt idx="1">
                  <c:v>1.2266882546549098</c:v>
                </c:pt>
                <c:pt idx="2">
                  <c:v>1.4063688568991746</c:v>
                </c:pt>
                <c:pt idx="3">
                  <c:v>1.4157892749374354</c:v>
                </c:pt>
                <c:pt idx="4">
                  <c:v>1.4185087374801968</c:v>
                </c:pt>
                <c:pt idx="5">
                  <c:v>1.3152723341921504</c:v>
                </c:pt>
                <c:pt idx="6">
                  <c:v>1.363121185966236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94-4184-B6E1-C74BED0AA5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40845184"/>
        <c:axId val="250413184"/>
      </c:barChart>
      <c:lineChart>
        <c:grouping val="standard"/>
        <c:varyColors val="0"/>
        <c:ser>
          <c:idx val="0"/>
          <c:order val="0"/>
          <c:tx>
            <c:v>ROA</c:v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'Resumen Ejecutivo'!$D$4:$J$4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'Resumen Ejecutivo'!$D$9:$J$9</c:f>
              <c:numCache>
                <c:formatCode>0.0%</c:formatCode>
                <c:ptCount val="7"/>
                <c:pt idx="0">
                  <c:v>2.9081592223777701E-2</c:v>
                </c:pt>
                <c:pt idx="1">
                  <c:v>3.5525547348540833E-2</c:v>
                </c:pt>
                <c:pt idx="2">
                  <c:v>5.2874605284387324E-2</c:v>
                </c:pt>
                <c:pt idx="3">
                  <c:v>5.0611757973706283E-2</c:v>
                </c:pt>
                <c:pt idx="4">
                  <c:v>3.6996352346302504E-2</c:v>
                </c:pt>
                <c:pt idx="5">
                  <c:v>6.4522063105077049E-2</c:v>
                </c:pt>
                <c:pt idx="6">
                  <c:v>4.1948479810906346E-2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94-4184-B6E1-C74BED0AA568}"/>
            </c:ext>
          </c:extLst>
        </c:ser>
        <c:ser>
          <c:idx val="2"/>
          <c:order val="1"/>
          <c:tx>
            <c:v>ROE</c:v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'Resumen Ejecutivo'!$D$4:$J$4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'Resumen Ejecutivo'!$D$11:$J$11</c:f>
              <c:numCache>
                <c:formatCode>0.0%</c:formatCode>
                <c:ptCount val="7"/>
                <c:pt idx="0">
                  <c:v>3.5459586579527524E-2</c:v>
                </c:pt>
                <c:pt idx="1">
                  <c:v>4.3578771672641917E-2</c:v>
                </c:pt>
                <c:pt idx="2">
                  <c:v>7.436119819279885E-2</c:v>
                </c:pt>
                <c:pt idx="3">
                  <c:v>7.1655584124902583E-2</c:v>
                </c:pt>
                <c:pt idx="4">
                  <c:v>5.2479649058126084E-2</c:v>
                </c:pt>
                <c:pt idx="5">
                  <c:v>8.4864084547107921E-2</c:v>
                </c:pt>
                <c:pt idx="6">
                  <c:v>5.7180861549323364E-2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E94-4184-B6E1-C74BED0AA568}"/>
            </c:ext>
          </c:extLst>
        </c:ser>
        <c:ser>
          <c:idx val="3"/>
          <c:order val="3"/>
          <c:tx>
            <c:strRef>
              <c:f>'Resumen Ejecutivo'!$C$22</c:f>
              <c:strCache>
                <c:ptCount val="1"/>
                <c:pt idx="0">
                  <c:v>Margen EBITDA %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val>
            <c:numRef>
              <c:f>'Resumen Ejecutivo'!$D$22:$J$22</c:f>
              <c:numCache>
                <c:formatCode>0.0%</c:formatCode>
                <c:ptCount val="7"/>
                <c:pt idx="0">
                  <c:v>0.13466406661719671</c:v>
                </c:pt>
                <c:pt idx="1">
                  <c:v>0.15354773932415047</c:v>
                </c:pt>
                <c:pt idx="2">
                  <c:v>0.15059677817496958</c:v>
                </c:pt>
                <c:pt idx="3">
                  <c:v>0.13618128485903713</c:v>
                </c:pt>
                <c:pt idx="4">
                  <c:v>0.13201156962647395</c:v>
                </c:pt>
                <c:pt idx="5">
                  <c:v>0.16379579458548157</c:v>
                </c:pt>
                <c:pt idx="6">
                  <c:v>0.14710162064865362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3F-405E-92E7-2EF770340A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40930384"/>
        <c:axId val="250414432"/>
      </c:lineChart>
      <c:catAx>
        <c:axId val="340930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 sz="600"/>
                  <a:t>Años de estudio</a:t>
                </a:r>
              </a:p>
            </c:rich>
          </c:tx>
          <c:layout>
            <c:manualLayout>
              <c:xMode val="edge"/>
              <c:yMode val="edge"/>
              <c:x val="0.3087365418649598"/>
              <c:y val="0.724657359867611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250414432"/>
        <c:crosses val="autoZero"/>
        <c:auto val="1"/>
        <c:lblAlgn val="ctr"/>
        <c:lblOffset val="100"/>
        <c:noMultiLvlLbl val="0"/>
      </c:catAx>
      <c:valAx>
        <c:axId val="250414432"/>
        <c:scaling>
          <c:orientation val="minMax"/>
          <c:max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 sz="600"/>
                  <a:t>Eje porcentual - ROA, ROE y EBITDA </a:t>
                </a:r>
              </a:p>
            </c:rich>
          </c:tx>
          <c:layout>
            <c:manualLayout>
              <c:xMode val="edge"/>
              <c:yMode val="edge"/>
              <c:x val="1.7796748747487583E-2"/>
              <c:y val="0.141035932211693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340930384"/>
        <c:crosses val="autoZero"/>
        <c:crossBetween val="between"/>
      </c:valAx>
      <c:valAx>
        <c:axId val="2504131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 sz="600"/>
                  <a:t>Eje en veces - Multiplicador de Capital</a:t>
                </a:r>
              </a:p>
            </c:rich>
          </c:tx>
          <c:layout>
            <c:manualLayout>
              <c:xMode val="edge"/>
              <c:yMode val="edge"/>
              <c:x val="0.74791509404930645"/>
              <c:y val="0.1505486222872363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0.00&quot;x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340845184"/>
        <c:crosses val="max"/>
        <c:crossBetween val="between"/>
      </c:valAx>
      <c:catAx>
        <c:axId val="340845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504131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65783843193694"/>
          <c:y val="0.15394124529762926"/>
          <c:w val="0.19934212580842867"/>
          <c:h val="0.681988369087527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54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Leelawadee" panose="020B0502040204020203" pitchFamily="34" charset="-34"/>
          <a:ea typeface="+mn-ea"/>
          <a:cs typeface="Leelawadee" panose="020B0502040204020203" pitchFamily="34" charset="-34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r>
              <a:rPr lang="es-CO" b="1">
                <a:latin typeface="Leelawadee" panose="020B0502040204020203" pitchFamily="34" charset="-34"/>
                <a:cs typeface="Leelawadee" panose="020B0502040204020203" pitchFamily="34" charset="-34"/>
              </a:rPr>
              <a:t>ROFA y Activo Fijo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131183195283831"/>
          <c:y val="8.2138293285402744E-2"/>
          <c:w val="0.61506437033272621"/>
          <c:h val="0.70389438745214794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Data!$C$37</c:f>
              <c:strCache>
                <c:ptCount val="1"/>
                <c:pt idx="0">
                  <c:v>Activo Fijo - Neto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'Resumen Ejecutivo'!$D$4:$J$5</c:f>
              <c:strCach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strCache>
            </c:strRef>
          </c:cat>
          <c:val>
            <c:numRef>
              <c:f>Data!$D$37:$J$37</c:f>
              <c:numCache>
                <c:formatCode>_(* #,##0_);_(* \(#,##0\);_(* "-"??_);_(@_)</c:formatCode>
                <c:ptCount val="7"/>
                <c:pt idx="0">
                  <c:v>410190</c:v>
                </c:pt>
                <c:pt idx="1">
                  <c:v>406383</c:v>
                </c:pt>
                <c:pt idx="2">
                  <c:v>1036732</c:v>
                </c:pt>
                <c:pt idx="3">
                  <c:v>1062829</c:v>
                </c:pt>
                <c:pt idx="4">
                  <c:v>1063484</c:v>
                </c:pt>
                <c:pt idx="5">
                  <c:v>1042469</c:v>
                </c:pt>
                <c:pt idx="6">
                  <c:v>1068493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42-465D-AC27-6A61D07CCE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05290543"/>
        <c:axId val="2056147887"/>
      </c:barChart>
      <c:lineChart>
        <c:grouping val="stacked"/>
        <c:varyColors val="0"/>
        <c:ser>
          <c:idx val="0"/>
          <c:order val="0"/>
          <c:tx>
            <c:strRef>
              <c:f>'Resumen Ejecutivo'!$C$58</c:f>
              <c:strCache>
                <c:ptCount val="1"/>
                <c:pt idx="0">
                  <c:v>Rentabilidad del Activo Fijo (ROFA)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'Resumen Ejecutivo'!$D$4:$J$4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'Resumen Ejecutivo'!$D$58:$J$58</c:f>
              <c:numCache>
                <c:formatCode>0.0%</c:formatCode>
                <c:ptCount val="7"/>
                <c:pt idx="0">
                  <c:v>0.13689022160462225</c:v>
                </c:pt>
                <c:pt idx="1">
                  <c:v>0.17154014808690324</c:v>
                </c:pt>
                <c:pt idx="2">
                  <c:v>9.9572502826188458E-2</c:v>
                </c:pt>
                <c:pt idx="3">
                  <c:v>9.8196417297608543E-2</c:v>
                </c:pt>
                <c:pt idx="4">
                  <c:v>7.3883575117256101E-2</c:v>
                </c:pt>
                <c:pt idx="5">
                  <c:v>0.13020914770607087</c:v>
                </c:pt>
                <c:pt idx="6">
                  <c:v>8.8229871417033146E-2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42-465D-AC27-6A61D07CCE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3245264"/>
        <c:axId val="250397376"/>
      </c:lineChart>
      <c:catAx>
        <c:axId val="263245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>
                    <a:latin typeface="Leelawadee" panose="020B0502040204020203" pitchFamily="34" charset="-34"/>
                    <a:cs typeface="Leelawadee" panose="020B0502040204020203" pitchFamily="34" charset="-34"/>
                  </a:rPr>
                  <a:t>Años</a:t>
                </a:r>
                <a:r>
                  <a:rPr lang="es-CO" baseline="0">
                    <a:latin typeface="Leelawadee" panose="020B0502040204020203" pitchFamily="34" charset="-34"/>
                    <a:cs typeface="Leelawadee" panose="020B0502040204020203" pitchFamily="34" charset="-34"/>
                  </a:rPr>
                  <a:t> de Estudio</a:t>
                </a:r>
                <a:endParaRPr lang="es-CO">
                  <a:latin typeface="Leelawadee" panose="020B0502040204020203" pitchFamily="34" charset="-34"/>
                  <a:cs typeface="Leelawadee" panose="020B0502040204020203" pitchFamily="34" charset="-34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250397376"/>
        <c:crosses val="autoZero"/>
        <c:auto val="1"/>
        <c:lblAlgn val="ctr"/>
        <c:lblOffset val="100"/>
        <c:noMultiLvlLbl val="0"/>
      </c:catAx>
      <c:valAx>
        <c:axId val="250397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>
                    <a:latin typeface="Leelawadee" panose="020B0502040204020203" pitchFamily="34" charset="-34"/>
                    <a:cs typeface="Leelawadee" panose="020B0502040204020203" pitchFamily="34" charset="-34"/>
                  </a:rPr>
                  <a:t>Eje porcentual</a:t>
                </a:r>
                <a:r>
                  <a:rPr lang="es-CO" baseline="0">
                    <a:latin typeface="Leelawadee" panose="020B0502040204020203" pitchFamily="34" charset="-34"/>
                    <a:cs typeface="Leelawadee" panose="020B0502040204020203" pitchFamily="34" charset="-34"/>
                  </a:rPr>
                  <a:t> - ROFA</a:t>
                </a:r>
                <a:endParaRPr lang="es-CO">
                  <a:latin typeface="Leelawadee" panose="020B0502040204020203" pitchFamily="34" charset="-34"/>
                  <a:cs typeface="Leelawadee" panose="020B0502040204020203" pitchFamily="34" charset="-34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263245264"/>
        <c:crosses val="autoZero"/>
        <c:crossBetween val="between"/>
      </c:valAx>
      <c:valAx>
        <c:axId val="2056147887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 b="0">
                    <a:latin typeface="Leelawadee" panose="020B0502040204020203" pitchFamily="34" charset="-34"/>
                    <a:cs typeface="Leelawadee" panose="020B0502040204020203" pitchFamily="34" charset="-34"/>
                  </a:rPr>
                  <a:t>Cifras en USD miles a 31 de diciembre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_(* #,##0_);_(* \(#,##0\);_(* &quot;-&quot;??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1805290543"/>
        <c:crosses val="max"/>
        <c:crossBetween val="between"/>
      </c:valAx>
      <c:catAx>
        <c:axId val="180529054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5614788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942116965494673"/>
          <c:y val="3.5809178767566945E-2"/>
          <c:w val="0.15881782388132756"/>
          <c:h val="0.284840995988105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54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r>
              <a:rPr lang="es-CO" b="1">
                <a:latin typeface="Leelawadee" panose="020B0502040204020203" pitchFamily="34" charset="-34"/>
                <a:cs typeface="Leelawadee" panose="020B0502040204020203" pitchFamily="34" charset="-34"/>
              </a:rPr>
              <a:t>Flujo de Caja Operativo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7305968660856"/>
          <c:y val="7.4532900398114221E-2"/>
          <c:w val="0.70772977535130899"/>
          <c:h val="0.7268160693653343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'Flujo de Caja'!$C$7</c:f>
              <c:strCache>
                <c:ptCount val="1"/>
                <c:pt idx="0">
                  <c:v>EBITDA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'Flujo de Caja'!$D$4:$I$4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'Flujo de Caja'!$D$7:$I$7</c:f>
              <c:numCache>
                <c:formatCode>_(* #,##0_);_(* \(#,##0\);_(* "-"??_);_(@_)</c:formatCode>
                <c:ptCount val="6"/>
                <c:pt idx="0">
                  <c:v>51136.905110221276</c:v>
                </c:pt>
                <c:pt idx="1">
                  <c:v>41841.008169628542</c:v>
                </c:pt>
                <c:pt idx="2">
                  <c:v>41913.080570931546</c:v>
                </c:pt>
                <c:pt idx="3">
                  <c:v>44830.093833780164</c:v>
                </c:pt>
                <c:pt idx="4">
                  <c:v>56025.848142164781</c:v>
                </c:pt>
                <c:pt idx="5">
                  <c:v>54662.907291113595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9A-439D-8780-3C7E9FE00292}"/>
            </c:ext>
          </c:extLst>
        </c:ser>
        <c:ser>
          <c:idx val="1"/>
          <c:order val="1"/>
          <c:tx>
            <c:strRef>
              <c:f>'Flujo de Caja'!$C$8</c:f>
              <c:strCache>
                <c:ptCount val="1"/>
                <c:pt idx="0">
                  <c:v>Impuestos Pagados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'Flujo de Caja'!$D$4:$I$4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'Flujo de Caja'!$D$8:$I$8</c:f>
              <c:numCache>
                <c:formatCode>_(* #,##0_);_(* \(#,##0\);_(* "-"??_);_(@_)</c:formatCode>
                <c:ptCount val="6"/>
                <c:pt idx="0">
                  <c:v>7173.1042575526517</c:v>
                </c:pt>
                <c:pt idx="1">
                  <c:v>9750.7886747604953</c:v>
                </c:pt>
                <c:pt idx="2">
                  <c:v>4738.7747422084922</c:v>
                </c:pt>
                <c:pt idx="3">
                  <c:v>4924.8045213735686</c:v>
                </c:pt>
                <c:pt idx="4">
                  <c:v>11797.215170397723</c:v>
                </c:pt>
                <c:pt idx="5">
                  <c:v>10442.642059844866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9A-439D-8780-3C7E9FE00292}"/>
            </c:ext>
          </c:extLst>
        </c:ser>
        <c:ser>
          <c:idx val="2"/>
          <c:order val="2"/>
          <c:tx>
            <c:strRef>
              <c:f>'Flujo de Caja'!$C$9</c:f>
              <c:strCache>
                <c:ptCount val="1"/>
                <c:pt idx="0">
                  <c:v>Flujo de Caja Operativo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'Flujo de Caja'!$D$4:$I$4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'Flujo de Caja'!$D$9:$I$9</c:f>
              <c:numCache>
                <c:formatCode>_(* #,##0_);_(* \(#,##0\);_(* "-"??_);_(@_)</c:formatCode>
                <c:ptCount val="6"/>
                <c:pt idx="0">
                  <c:v>43963.800852668624</c:v>
                </c:pt>
                <c:pt idx="1">
                  <c:v>32090.219494868048</c:v>
                </c:pt>
                <c:pt idx="2">
                  <c:v>37174.305828723052</c:v>
                </c:pt>
                <c:pt idx="3">
                  <c:v>39905.289312406596</c:v>
                </c:pt>
                <c:pt idx="4">
                  <c:v>44228.63297176706</c:v>
                </c:pt>
                <c:pt idx="5">
                  <c:v>44220.265231268728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9A-439D-8780-3C7E9FE00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8571824"/>
        <c:axId val="398578712"/>
      </c:barChart>
      <c:catAx>
        <c:axId val="3985718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>
                    <a:latin typeface="Leelawadee" panose="020B0502040204020203" pitchFamily="34" charset="-34"/>
                    <a:cs typeface="Leelawadee" panose="020B0502040204020203" pitchFamily="34" charset="-34"/>
                  </a:rPr>
                  <a:t>Años de Estudio</a:t>
                </a:r>
              </a:p>
            </c:rich>
          </c:tx>
          <c:layout>
            <c:manualLayout>
              <c:xMode val="edge"/>
              <c:yMode val="edge"/>
              <c:x val="2.4633229530173769E-2"/>
              <c:y val="0.342012906920228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398578712"/>
        <c:crosses val="autoZero"/>
        <c:auto val="1"/>
        <c:lblAlgn val="ctr"/>
        <c:lblOffset val="100"/>
        <c:noMultiLvlLbl val="0"/>
      </c:catAx>
      <c:valAx>
        <c:axId val="398578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>
                    <a:latin typeface="Leelawadee" panose="020B0502040204020203" pitchFamily="34" charset="-34"/>
                    <a:cs typeface="Leelawadee" panose="020B0502040204020203" pitchFamily="34" charset="-34"/>
                  </a:rPr>
                  <a:t>Cifras en USD miles a 31  de diciembre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398571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756644533373636"/>
          <c:y val="6.0908040533845936E-2"/>
          <c:w val="0.15009487184078019"/>
          <c:h val="0.24677190466791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54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8378497786109992E-2"/>
          <c:y val="8.0447788465694184E-2"/>
          <c:w val="0.65030701879360986"/>
          <c:h val="0.583447265980203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'Flujo de Caja'!$C$15</c:f>
              <c:strCache>
                <c:ptCount val="1"/>
                <c:pt idx="0">
                  <c:v>Flujo de Caja Libre 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numRef>
              <c:f>'Flujo de Caja'!$D$4:$I$4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'Flujo de Caja'!$D$15:$I$15</c:f>
              <c:numCache>
                <c:formatCode>_(* #,##0_);_(* \(#,##0\);_(* "-"??_);_(@_)</c:formatCode>
                <c:ptCount val="6"/>
                <c:pt idx="0">
                  <c:v>36532.551734256791</c:v>
                </c:pt>
                <c:pt idx="1">
                  <c:v>14053.742029491739</c:v>
                </c:pt>
                <c:pt idx="2">
                  <c:v>-1507.9994089293759</c:v>
                </c:pt>
                <c:pt idx="3">
                  <c:v>19511.014612468072</c:v>
                </c:pt>
                <c:pt idx="4">
                  <c:v>44078.710143098237</c:v>
                </c:pt>
                <c:pt idx="5">
                  <c:v>18621.711834961221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6-4232-93F0-5EB921DC063C}"/>
            </c:ext>
          </c:extLst>
        </c:ser>
        <c:ser>
          <c:idx val="1"/>
          <c:order val="1"/>
          <c:tx>
            <c:strRef>
              <c:f>'Flujo de Caja'!$C$18</c:f>
              <c:strCache>
                <c:ptCount val="1"/>
                <c:pt idx="0">
                  <c:v>Flujo de Caja Disponible para el Accionista 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numRef>
              <c:f>'Flujo de Caja'!$D$4:$I$4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'Flujo de Caja'!$D$18:$I$18</c:f>
              <c:numCache>
                <c:formatCode>_(* #,##0_);_(* \(#,##0\);_(* "-"??_);_(@_)</c:formatCode>
                <c:ptCount val="6"/>
                <c:pt idx="0">
                  <c:v>36532.551734256791</c:v>
                </c:pt>
                <c:pt idx="1">
                  <c:v>12359.488710679369</c:v>
                </c:pt>
                <c:pt idx="2">
                  <c:v>-7010.3638493451444</c:v>
                </c:pt>
                <c:pt idx="3">
                  <c:v>13323.011931502926</c:v>
                </c:pt>
                <c:pt idx="4">
                  <c:v>40386.426121250399</c:v>
                </c:pt>
                <c:pt idx="5">
                  <c:v>15352.092593793617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6-4232-93F0-5EB921DC063C}"/>
            </c:ext>
          </c:extLst>
        </c:ser>
        <c:ser>
          <c:idx val="2"/>
          <c:order val="2"/>
          <c:tx>
            <c:strRef>
              <c:f>'Flujo de Caja'!$C$20</c:f>
              <c:strCache>
                <c:ptCount val="1"/>
                <c:pt idx="0">
                  <c:v>Flujo de Caja Disponible para Reinversion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'Flujo de Caja'!$D$4:$I$4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'Flujo de Caja'!$D$20:$I$20</c:f>
              <c:numCache>
                <c:formatCode>_(* #,##0_);_(* \(#,##0\);_(* "-"??_);_(@_)</c:formatCode>
                <c:ptCount val="6"/>
                <c:pt idx="0">
                  <c:v>22795.644952116232</c:v>
                </c:pt>
                <c:pt idx="1">
                  <c:v>975.98608960344063</c:v>
                </c:pt>
                <c:pt idx="2">
                  <c:v>-20234.900708955036</c:v>
                </c:pt>
                <c:pt idx="3">
                  <c:v>640.03606018925348</c:v>
                </c:pt>
                <c:pt idx="4">
                  <c:v>31348.807842921298</c:v>
                </c:pt>
                <c:pt idx="5">
                  <c:v>2851.2534474648055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6-4232-93F0-5EB921DC06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395293968"/>
        <c:axId val="399109416"/>
      </c:barChart>
      <c:catAx>
        <c:axId val="3952939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 sz="600">
                    <a:latin typeface="Leelawadee" panose="020B0502040204020203" pitchFamily="34" charset="-34"/>
                    <a:cs typeface="Leelawadee" panose="020B0502040204020203" pitchFamily="34" charset="-34"/>
                  </a:rPr>
                  <a:t>Años de Estudio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399109416"/>
        <c:crosses val="autoZero"/>
        <c:auto val="1"/>
        <c:lblAlgn val="ctr"/>
        <c:lblOffset val="100"/>
        <c:noMultiLvlLbl val="0"/>
      </c:catAx>
      <c:valAx>
        <c:axId val="399109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 sz="600">
                    <a:latin typeface="Leelawadee" panose="020B0502040204020203" pitchFamily="34" charset="-34"/>
                    <a:cs typeface="Leelawadee" panose="020B0502040204020203" pitchFamily="34" charset="-34"/>
                  </a:rPr>
                  <a:t>Cifras en USD miles a 31 de diciembre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395293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559184030028631"/>
          <c:y val="5.3477043485180523E-2"/>
          <c:w val="0.16503708859873109"/>
          <c:h val="0.669669781467555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54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r>
              <a:rPr lang="es-CO" b="1"/>
              <a:t>Cambios en el ROA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2184749906101137"/>
          <c:y val="0.10157954340417819"/>
          <c:w val="0.62371090890224368"/>
          <c:h val="0.69138332662890234"/>
        </c:manualLayout>
      </c:layout>
      <c:barChart>
        <c:barDir val="col"/>
        <c:grouping val="clustered"/>
        <c:varyColors val="0"/>
        <c:ser>
          <c:idx val="2"/>
          <c:order val="2"/>
          <c:tx>
            <c:v>ROA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'Resumen Ejecutivo'!$D$4:$J$4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'Resumen Ejecutivo'!$D$9:$J$9</c:f>
              <c:numCache>
                <c:formatCode>0.0%</c:formatCode>
                <c:ptCount val="7"/>
                <c:pt idx="0">
                  <c:v>2.9081592223777701E-2</c:v>
                </c:pt>
                <c:pt idx="1">
                  <c:v>3.5525547348540833E-2</c:v>
                </c:pt>
                <c:pt idx="2">
                  <c:v>5.2874605284387324E-2</c:v>
                </c:pt>
                <c:pt idx="3">
                  <c:v>5.0611757973706283E-2</c:v>
                </c:pt>
                <c:pt idx="4">
                  <c:v>3.6996352346302504E-2</c:v>
                </c:pt>
                <c:pt idx="5">
                  <c:v>6.4522063105077049E-2</c:v>
                </c:pt>
                <c:pt idx="6">
                  <c:v>4.1948479810906346E-2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95-4FED-A9FC-1735FC9E6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51594560"/>
        <c:axId val="250347040"/>
      </c:barChart>
      <c:lineChart>
        <c:grouping val="stacked"/>
        <c:varyColors val="0"/>
        <c:ser>
          <c:idx val="1"/>
          <c:order val="1"/>
          <c:tx>
            <c:v>RAT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'Resumen Ejecutivo'!$D$4:$J$4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'Resumen Ejecutivo'!$D$8:$J$8</c:f>
              <c:numCache>
                <c:formatCode>#,##0.00" x"</c:formatCode>
                <c:ptCount val="7"/>
                <c:pt idx="0">
                  <c:v>0.39015718281818657</c:v>
                </c:pt>
                <c:pt idx="1">
                  <c:v>0.40604593232966996</c:v>
                </c:pt>
                <c:pt idx="2">
                  <c:v>0.44819307963971722</c:v>
                </c:pt>
                <c:pt idx="3">
                  <c:v>0.44786648497398268</c:v>
                </c:pt>
                <c:pt idx="4">
                  <c:v>0.47712977162495512</c:v>
                </c:pt>
                <c:pt idx="5">
                  <c:v>0.52837133115406165</c:v>
                </c:pt>
                <c:pt idx="6">
                  <c:v>0.54187506007069652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95-4FED-A9FC-1735FC9E6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9463072"/>
        <c:axId val="250342048"/>
      </c:lineChart>
      <c:lineChart>
        <c:grouping val="stacked"/>
        <c:varyColors val="0"/>
        <c:ser>
          <c:idx val="0"/>
          <c:order val="0"/>
          <c:tx>
            <c:v>ROS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'Resumen Ejecutivo'!$D$4:$J$4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'Resumen Ejecutivo'!$D$7:$J$7</c:f>
              <c:numCache>
                <c:formatCode>0.0%</c:formatCode>
                <c:ptCount val="7"/>
                <c:pt idx="0">
                  <c:v>7.4538143867339077E-2</c:v>
                </c:pt>
                <c:pt idx="1">
                  <c:v>8.7491449907439359E-2</c:v>
                </c:pt>
                <c:pt idx="2">
                  <c:v>0.11797282842227483</c:v>
                </c:pt>
                <c:pt idx="3">
                  <c:v>0.11300635272283525</c:v>
                </c:pt>
                <c:pt idx="4">
                  <c:v>7.7539391893958892E-2</c:v>
                </c:pt>
                <c:pt idx="5">
                  <c:v>0.12211499621705214</c:v>
                </c:pt>
                <c:pt idx="6">
                  <c:v>7.7413564310255353E-2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495-4FED-A9FC-1735FC9E6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1594560"/>
        <c:axId val="250347040"/>
      </c:lineChart>
      <c:catAx>
        <c:axId val="19394630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/>
                  <a:t>Años</a:t>
                </a:r>
                <a:r>
                  <a:rPr lang="es-CO" baseline="0"/>
                  <a:t> de estudio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0.36295853825196411"/>
              <c:y val="0.8467856184852043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250342048"/>
        <c:crosses val="autoZero"/>
        <c:auto val="1"/>
        <c:lblAlgn val="ctr"/>
        <c:lblOffset val="100"/>
        <c:noMultiLvlLbl val="0"/>
      </c:catAx>
      <c:valAx>
        <c:axId val="250342048"/>
        <c:scaling>
          <c:orientation val="minMax"/>
          <c:max val="0.7000000000000000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/>
                  <a:t>Eje en veces</a:t>
                </a:r>
                <a:r>
                  <a:rPr lang="es-CO" baseline="0"/>
                  <a:t> - RAT</a:t>
                </a:r>
              </a:p>
            </c:rich>
          </c:tx>
          <c:layout>
            <c:manualLayout>
              <c:xMode val="edge"/>
              <c:yMode val="edge"/>
              <c:x val="2.5591010280005905E-2"/>
              <c:y val="0.3416900904530122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#,##0.00&quot; x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1939463072"/>
        <c:crosses val="autoZero"/>
        <c:crossBetween val="between"/>
      </c:valAx>
      <c:valAx>
        <c:axId val="250347040"/>
        <c:scaling>
          <c:orientation val="minMax"/>
          <c:max val="0.14000000000000001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/>
                  <a:t>Eje porcentual</a:t>
                </a:r>
                <a:r>
                  <a:rPr lang="es-CO" baseline="0"/>
                  <a:t> - ROS, ROA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251594560"/>
        <c:crosses val="max"/>
        <c:crossBetween val="between"/>
      </c:valAx>
      <c:catAx>
        <c:axId val="2515945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503470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600041506383183"/>
          <c:y val="5.9290562613499687E-2"/>
          <c:w val="0.15124053422676351"/>
          <c:h val="0.2992317947385584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54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Leelawadee" panose="020B0502040204020203" pitchFamily="34" charset="-34"/>
          <a:ea typeface="+mn-ea"/>
          <a:cs typeface="Leelawadee" panose="020B0502040204020203" pitchFamily="34" charset="-34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r>
              <a:rPr lang="es-CO" b="1">
                <a:latin typeface="Leelawadee" panose="020B0502040204020203" pitchFamily="34" charset="-34"/>
                <a:cs typeface="Leelawadee" panose="020B0502040204020203" pitchFamily="34" charset="-34"/>
              </a:rPr>
              <a:t>Relación</a:t>
            </a:r>
            <a:r>
              <a:rPr lang="es-CO" b="1" baseline="0">
                <a:latin typeface="Leelawadee" panose="020B0502040204020203" pitchFamily="34" charset="-34"/>
                <a:cs typeface="Leelawadee" panose="020B0502040204020203" pitchFamily="34" charset="-34"/>
              </a:rPr>
              <a:t> de TRM a la Venta y Costo de Venta</a:t>
            </a:r>
            <a:r>
              <a:rPr lang="es-CO" b="1">
                <a:latin typeface="Leelawadee" panose="020B0502040204020203" pitchFamily="34" charset="-34"/>
                <a:cs typeface="Leelawadee" panose="020B0502040204020203" pitchFamily="34" charset="-34"/>
              </a:rPr>
              <a:t> </a:t>
            </a:r>
          </a:p>
        </c:rich>
      </c:tx>
      <c:layout>
        <c:manualLayout>
          <c:xMode val="edge"/>
          <c:yMode val="edge"/>
          <c:x val="0.16719912926084241"/>
          <c:y val="1.48293255556569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361695346779456"/>
          <c:y val="8.6726838958000513E-2"/>
          <c:w val="0.55978862029285614"/>
          <c:h val="0.6977579110656934"/>
        </c:manualLayout>
      </c:layout>
      <c:barChart>
        <c:barDir val="col"/>
        <c:grouping val="clustered"/>
        <c:varyColors val="0"/>
        <c:ser>
          <c:idx val="0"/>
          <c:order val="0"/>
          <c:tx>
            <c:v>Costo de Ventas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Data!$L$4:$R$4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Data!$L$12:$R$12</c:f>
              <c:numCache>
                <c:formatCode>_(* #,##0_);_(* \(#,##0\);_(* "-"??_);_(@_)</c:formatCode>
                <c:ptCount val="7"/>
                <c:pt idx="0">
                  <c:v>288212.24498269177</c:v>
                </c:pt>
                <c:pt idx="1">
                  <c:v>239191.04185649916</c:v>
                </c:pt>
                <c:pt idx="2">
                  <c:v>203212.60402543921</c:v>
                </c:pt>
                <c:pt idx="3">
                  <c:v>230293.49720566132</c:v>
                </c:pt>
                <c:pt idx="4">
                  <c:v>255914.2091152815</c:v>
                </c:pt>
                <c:pt idx="5">
                  <c:v>247720.90160781599</c:v>
                </c:pt>
                <c:pt idx="6">
                  <c:v>271465.66823510744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E-4B63-A089-9EBD04F0D8BA}"/>
            </c:ext>
          </c:extLst>
        </c:ser>
        <c:ser>
          <c:idx val="2"/>
          <c:order val="2"/>
          <c:tx>
            <c:v>Ventas Netas 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Data!$L$4:$R$4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Data!$L$11:$R$11</c:f>
              <c:numCache>
                <c:formatCode>_(* #,##0_);_(* \(#,##0\);_(* "-"??_);_(@_)</c:formatCode>
                <c:ptCount val="7"/>
                <c:pt idx="0">
                  <c:v>390962.87684954045</c:v>
                </c:pt>
                <c:pt idx="1">
                  <c:v>333035.87102814676</c:v>
                </c:pt>
                <c:pt idx="2">
                  <c:v>277834.68329591968</c:v>
                </c:pt>
                <c:pt idx="3">
                  <c:v>307774.16011543933</c:v>
                </c:pt>
                <c:pt idx="4">
                  <c:v>339592.15817694372</c:v>
                </c:pt>
                <c:pt idx="5">
                  <c:v>342046.92668666819</c:v>
                </c:pt>
                <c:pt idx="6">
                  <c:v>371599.62650359765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E-4B63-A089-9EBD04F0D8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107552"/>
        <c:axId val="2000319712"/>
      </c:barChart>
      <c:lineChart>
        <c:grouping val="standard"/>
        <c:varyColors val="0"/>
        <c:ser>
          <c:idx val="1"/>
          <c:order val="1"/>
          <c:tx>
            <c:v>Tasa de Cambio 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'Resumen Ejecutivo'!$D$4:$J$4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Data!$L$5:$R$5</c:f>
              <c:numCache>
                <c:formatCode>_(* #,##0.00_);_(* \(#,##0.00\);_(* "-"??_);_(@_)</c:formatCode>
                <c:ptCount val="7"/>
                <c:pt idx="0">
                  <c:v>1926.83</c:v>
                </c:pt>
                <c:pt idx="1">
                  <c:v>2392.46</c:v>
                </c:pt>
                <c:pt idx="2">
                  <c:v>3149.47</c:v>
                </c:pt>
                <c:pt idx="3">
                  <c:v>3000.71</c:v>
                </c:pt>
                <c:pt idx="4">
                  <c:v>2984</c:v>
                </c:pt>
                <c:pt idx="5">
                  <c:v>3249.75</c:v>
                </c:pt>
                <c:pt idx="6">
                  <c:v>3277.14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FE-4B63-A089-9EBD04F0D8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104272"/>
        <c:axId val="2000327616"/>
      </c:lineChart>
      <c:catAx>
        <c:axId val="2101075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>
                    <a:latin typeface="Leelawadee" panose="020B0502040204020203" pitchFamily="34" charset="-34"/>
                    <a:cs typeface="Leelawadee" panose="020B0502040204020203" pitchFamily="34" charset="-34"/>
                  </a:rPr>
                  <a:t>Años de Estudio</a:t>
                </a:r>
              </a:p>
            </c:rich>
          </c:tx>
          <c:layout>
            <c:manualLayout>
              <c:xMode val="edge"/>
              <c:yMode val="edge"/>
              <c:x val="0.3483433030947452"/>
              <c:y val="0.843822680966910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2000319712"/>
        <c:crosses val="autoZero"/>
        <c:auto val="1"/>
        <c:lblAlgn val="ctr"/>
        <c:lblOffset val="100"/>
        <c:noMultiLvlLbl val="0"/>
      </c:catAx>
      <c:valAx>
        <c:axId val="2000319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>
                    <a:latin typeface="Leelawadee" panose="020B0502040204020203" pitchFamily="34" charset="-34"/>
                    <a:cs typeface="Leelawadee" panose="020B0502040204020203" pitchFamily="34" charset="-34"/>
                  </a:rPr>
                  <a:t>Cifras en USD</a:t>
                </a:r>
                <a:r>
                  <a:rPr lang="es-CO" baseline="0">
                    <a:latin typeface="Leelawadee" panose="020B0502040204020203" pitchFamily="34" charset="-34"/>
                    <a:cs typeface="Leelawadee" panose="020B0502040204020203" pitchFamily="34" charset="-34"/>
                  </a:rPr>
                  <a:t> miles a 31 de diciembre</a:t>
                </a:r>
                <a:endParaRPr lang="es-CO">
                  <a:latin typeface="Leelawadee" panose="020B0502040204020203" pitchFamily="34" charset="-34"/>
                  <a:cs typeface="Leelawadee" panose="020B0502040204020203" pitchFamily="34" charset="-34"/>
                </a:endParaRPr>
              </a:p>
            </c:rich>
          </c:tx>
          <c:layout>
            <c:manualLayout>
              <c:xMode val="edge"/>
              <c:yMode val="edge"/>
              <c:x val="2.0259348446039094E-2"/>
              <c:y val="0.2105830396497632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210107552"/>
        <c:crosses val="autoZero"/>
        <c:crossBetween val="between"/>
      </c:valAx>
      <c:valAx>
        <c:axId val="200032761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TRM</a:t>
                </a:r>
              </a:p>
            </c:rich>
          </c:tx>
          <c:layout>
            <c:manualLayout>
              <c:xMode val="edge"/>
              <c:yMode val="edge"/>
              <c:x val="0.79035682198278068"/>
              <c:y val="0.4048906025863356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(* #,##0.00_);_(* \(#,##0.00\);_(* &quot;-&quot;??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206104272"/>
        <c:crosses val="max"/>
        <c:crossBetween val="between"/>
      </c:valAx>
      <c:catAx>
        <c:axId val="2061042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003276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802508152474362"/>
          <c:y val="6.0314097570345407E-2"/>
          <c:w val="0.18022407000305779"/>
          <c:h val="0.343266775869145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54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r>
              <a:rPr lang="es-CO" b="1"/>
              <a:t>Márgenes de la empresa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080959212839589"/>
          <c:y val="0.10839170514276004"/>
          <c:w val="0.69196008854887858"/>
          <c:h val="0.71075818462211193"/>
        </c:manualLayout>
      </c:layout>
      <c:barChart>
        <c:barDir val="col"/>
        <c:grouping val="clustered"/>
        <c:varyColors val="0"/>
        <c:ser>
          <c:idx val="0"/>
          <c:order val="0"/>
          <c:tx>
            <c:v>Margen Bruto 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'Resumen Ejecutivo'!$D$4:$J$4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'Resumen Ejecutivo'!$D$19:$J$19</c:f>
              <c:numCache>
                <c:formatCode>0.0%</c:formatCode>
                <c:ptCount val="7"/>
                <c:pt idx="0">
                  <c:v>0.26281429248432603</c:v>
                </c:pt>
                <c:pt idx="1">
                  <c:v>0.28178594960936276</c:v>
                </c:pt>
                <c:pt idx="2">
                  <c:v>0.26858446319677448</c:v>
                </c:pt>
                <c:pt idx="3">
                  <c:v>0.25174518510818689</c:v>
                </c:pt>
                <c:pt idx="4">
                  <c:v>0.24640718887879026</c:v>
                </c:pt>
                <c:pt idx="5">
                  <c:v>0.2757692518759553</c:v>
                </c:pt>
                <c:pt idx="6">
                  <c:v>0.26946732753920238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B2-4BE7-BC35-C2A7B2812C9A}"/>
            </c:ext>
          </c:extLst>
        </c:ser>
        <c:ser>
          <c:idx val="1"/>
          <c:order val="1"/>
          <c:tx>
            <c:v>Margen Operacional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'Resumen Ejecutivo'!$D$4:$J$4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'Resumen Ejecutivo'!$D$25:$J$25</c:f>
              <c:numCache>
                <c:formatCode>0.0%</c:formatCode>
                <c:ptCount val="7"/>
                <c:pt idx="0">
                  <c:v>7.352662019675596E-2</c:v>
                </c:pt>
                <c:pt idx="1">
                  <c:v>9.2693671362680807E-2</c:v>
                </c:pt>
                <c:pt idx="2">
                  <c:v>0.10328993682516753</c:v>
                </c:pt>
                <c:pt idx="3">
                  <c:v>8.7238141024599883E-2</c:v>
                </c:pt>
                <c:pt idx="4">
                  <c:v>4.5764366063613206E-2</c:v>
                </c:pt>
                <c:pt idx="5">
                  <c:v>7.4230343290148063E-2</c:v>
                </c:pt>
                <c:pt idx="6">
                  <c:v>5.9560644580648137E-2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B2-4BE7-BC35-C2A7B2812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985344"/>
        <c:axId val="2000325120"/>
      </c:barChart>
      <c:lineChart>
        <c:grouping val="stacked"/>
        <c:varyColors val="0"/>
        <c:ser>
          <c:idx val="2"/>
          <c:order val="2"/>
          <c:tx>
            <c:v>ROS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'Resumen Ejecutivo'!$D$4:$J$4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'Resumen Ejecutivo'!$D$7:$J$7</c:f>
              <c:numCache>
                <c:formatCode>0.0%</c:formatCode>
                <c:ptCount val="7"/>
                <c:pt idx="0">
                  <c:v>7.4538143867339077E-2</c:v>
                </c:pt>
                <c:pt idx="1">
                  <c:v>8.7491449907439359E-2</c:v>
                </c:pt>
                <c:pt idx="2">
                  <c:v>0.11797282842227483</c:v>
                </c:pt>
                <c:pt idx="3">
                  <c:v>0.11300635272283525</c:v>
                </c:pt>
                <c:pt idx="4">
                  <c:v>7.7539391893958892E-2</c:v>
                </c:pt>
                <c:pt idx="5">
                  <c:v>0.12211499621705214</c:v>
                </c:pt>
                <c:pt idx="6">
                  <c:v>7.7413564310255353E-2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B2-4BE7-BC35-C2A7B2812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985344"/>
        <c:axId val="2000325120"/>
      </c:lineChart>
      <c:catAx>
        <c:axId val="21398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/>
                  <a:t>Años de Estudio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2000325120"/>
        <c:crosses val="autoZero"/>
        <c:auto val="1"/>
        <c:lblAlgn val="ctr"/>
        <c:lblOffset val="100"/>
        <c:noMultiLvlLbl val="0"/>
      </c:catAx>
      <c:valAx>
        <c:axId val="2000325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/>
                  <a:t>Eje porcentual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213985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626259663639256"/>
          <c:y val="5.3685688119653997E-2"/>
          <c:w val="0.16423527578898112"/>
          <c:h val="0.343765236006842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5400" cap="flat" cmpd="sng" algn="ctr">
      <a:solidFill>
        <a:schemeClr val="accent6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Leelawadee" panose="020B0502040204020203" pitchFamily="34" charset="-34"/>
          <a:ea typeface="+mn-ea"/>
          <a:cs typeface="Leelawadee" panose="020B0502040204020203" pitchFamily="34" charset="-34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r>
              <a:rPr lang="es-CO" b="1">
                <a:latin typeface="Leelawadee" panose="020B0502040204020203" pitchFamily="34" charset="-34"/>
                <a:cs typeface="Leelawadee" panose="020B0502040204020203" pitchFamily="34" charset="-34"/>
              </a:rPr>
              <a:t>Proporción</a:t>
            </a:r>
            <a:r>
              <a:rPr lang="es-CO" b="1" baseline="0">
                <a:latin typeface="Leelawadee" panose="020B0502040204020203" pitchFamily="34" charset="-34"/>
                <a:cs typeface="Leelawadee" panose="020B0502040204020203" pitchFamily="34" charset="-34"/>
              </a:rPr>
              <a:t> del Gasto operación con respecto al EBITDA</a:t>
            </a:r>
            <a:endParaRPr lang="es-CO" b="1">
              <a:latin typeface="Leelawadee" panose="020B0502040204020203" pitchFamily="34" charset="-34"/>
              <a:cs typeface="Leelawadee" panose="020B0502040204020203" pitchFamily="34" charset="-34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2171772326288957"/>
          <c:y val="9.8148651250629756E-2"/>
          <c:w val="0.71420230195410905"/>
          <c:h val="0.66460066261189366"/>
        </c:manualLayout>
      </c:layout>
      <c:barChart>
        <c:barDir val="col"/>
        <c:grouping val="clustered"/>
        <c:varyColors val="0"/>
        <c:ser>
          <c:idx val="0"/>
          <c:order val="0"/>
          <c:tx>
            <c:v>Gastos operacionales 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'Resumen Ejecutivo'!$D$4:$J$4</c15:sqref>
                  </c15:fullRef>
                </c:ext>
              </c:extLst>
              <c:f>'Resumen Ejecutivo'!$E$4:$J$4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Data!$L$14:$R$14</c15:sqref>
                  </c15:fullRef>
                </c:ext>
              </c:extLst>
              <c:f>Data!$M$14:$R$14</c:f>
              <c:numCache>
                <c:formatCode>_(* #,##0_);_(* \(#,##0\);_(* "-"??_);_(@_)</c:formatCode>
                <c:ptCount val="6"/>
                <c:pt idx="0">
                  <c:v>42707.924061426311</c:v>
                </c:pt>
                <c:pt idx="1">
                  <c:v>32781.071100851892</c:v>
                </c:pt>
                <c:pt idx="2">
                  <c:v>35567.582338846471</c:v>
                </c:pt>
                <c:pt idx="3">
                  <c:v>38847.855227882035</c:v>
                </c:pt>
                <c:pt idx="4">
                  <c:v>38300.176936687436</c:v>
                </c:pt>
                <c:pt idx="5">
                  <c:v>45471.050977376617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5C-4F7A-8442-9695B61DB7C1}"/>
            </c:ext>
          </c:extLst>
        </c:ser>
        <c:ser>
          <c:idx val="1"/>
          <c:order val="1"/>
          <c:tx>
            <c:v>EBITDA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'Resumen Ejecutivo'!$D$4:$J$4</c15:sqref>
                  </c15:fullRef>
                </c:ext>
              </c:extLst>
              <c:f>'Resumen Ejecutivo'!$E$4:$J$4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Data!$L$15:$R$15</c15:sqref>
                  </c15:fullRef>
                </c:ext>
              </c:extLst>
              <c:f>Data!$M$15:$R$15</c:f>
              <c:numCache>
                <c:formatCode>_(* #,##0_);_(* \(#,##0\);_(* "-"??_);_(@_)</c:formatCode>
                <c:ptCount val="6"/>
                <c:pt idx="0">
                  <c:v>51136.905110221276</c:v>
                </c:pt>
                <c:pt idx="1">
                  <c:v>41841.008169628542</c:v>
                </c:pt>
                <c:pt idx="2">
                  <c:v>41913.080570931546</c:v>
                </c:pt>
                <c:pt idx="3">
                  <c:v>44830.093833780164</c:v>
                </c:pt>
                <c:pt idx="4">
                  <c:v>56025.848142164781</c:v>
                </c:pt>
                <c:pt idx="5">
                  <c:v>54662.907291113595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5C-4F7A-8442-9695B61DB7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5458400"/>
        <c:axId val="2000302656"/>
      </c:barChart>
      <c:catAx>
        <c:axId val="255458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>
                    <a:latin typeface="Leelawadee" panose="020B0502040204020203" pitchFamily="34" charset="-34"/>
                    <a:cs typeface="Leelawadee" panose="020B0502040204020203" pitchFamily="34" charset="-34"/>
                  </a:rPr>
                  <a:t>Años de Estudio</a:t>
                </a:r>
              </a:p>
            </c:rich>
          </c:tx>
          <c:layout>
            <c:manualLayout>
              <c:xMode val="edge"/>
              <c:yMode val="edge"/>
              <c:x val="0.41049181065746043"/>
              <c:y val="0.819459461433565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2000302656"/>
        <c:crosses val="autoZero"/>
        <c:auto val="1"/>
        <c:lblAlgn val="ctr"/>
        <c:lblOffset val="100"/>
        <c:noMultiLvlLbl val="0"/>
      </c:catAx>
      <c:valAx>
        <c:axId val="200030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>
                    <a:latin typeface="Leelawadee" panose="020B0502040204020203" pitchFamily="34" charset="-34"/>
                    <a:cs typeface="Leelawadee" panose="020B0502040204020203" pitchFamily="34" charset="-34"/>
                  </a:rPr>
                  <a:t>Cifras en USD</a:t>
                </a:r>
                <a:r>
                  <a:rPr lang="es-CO" baseline="0">
                    <a:latin typeface="Leelawadee" panose="020B0502040204020203" pitchFamily="34" charset="-34"/>
                    <a:cs typeface="Leelawadee" panose="020B0502040204020203" pitchFamily="34" charset="-34"/>
                  </a:rPr>
                  <a:t> miles a 31 de diciembre</a:t>
                </a:r>
                <a:endParaRPr lang="es-CO">
                  <a:latin typeface="Leelawadee" panose="020B0502040204020203" pitchFamily="34" charset="-34"/>
                  <a:cs typeface="Leelawadee" panose="020B0502040204020203" pitchFamily="34" charset="-34"/>
                </a:endParaRPr>
              </a:p>
            </c:rich>
          </c:tx>
          <c:layout>
            <c:manualLayout>
              <c:xMode val="edge"/>
              <c:yMode val="edge"/>
              <c:x val="1.6134461393000225E-2"/>
              <c:y val="0.206155120329451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255458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026045664272443"/>
          <c:y val="5.9812399960476194E-2"/>
          <c:w val="0.14091803933668404"/>
          <c:h val="0.293106649106849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5400" cap="flat" cmpd="sng" algn="ctr">
      <a:solidFill>
        <a:schemeClr val="accent4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r>
              <a:rPr lang="es-CO" b="1">
                <a:latin typeface="Leelawadee" panose="020B0502040204020203" pitchFamily="34" charset="-34"/>
                <a:cs typeface="Leelawadee" panose="020B0502040204020203" pitchFamily="34" charset="-34"/>
              </a:rPr>
              <a:t>Estado de situación financiera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4168119704300652"/>
          <c:y val="8.9023844031960911E-2"/>
          <c:w val="0.69231692732054506"/>
          <c:h val="0.7156163822689996"/>
        </c:manualLayout>
      </c:layout>
      <c:barChart>
        <c:barDir val="col"/>
        <c:grouping val="clustered"/>
        <c:varyColors val="0"/>
        <c:ser>
          <c:idx val="1"/>
          <c:order val="0"/>
          <c:tx>
            <c:v>Total pasivo 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Data!$L$4:$R$4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Data!$L$55:$R$55</c:f>
              <c:numCache>
                <c:formatCode>_(* #,##0_);_(* \(#,##0\);_(* "-"??_);_(@_)</c:formatCode>
                <c:ptCount val="7"/>
                <c:pt idx="0">
                  <c:v>180238.00750455412</c:v>
                </c:pt>
                <c:pt idx="1">
                  <c:v>151569.09624403334</c:v>
                </c:pt>
                <c:pt idx="2">
                  <c:v>179119.34388960683</c:v>
                </c:pt>
                <c:pt idx="3">
                  <c:v>201817.236587341</c:v>
                </c:pt>
                <c:pt idx="4">
                  <c:v>209987.60053619303</c:v>
                </c:pt>
                <c:pt idx="5">
                  <c:v>155173.16716670513</c:v>
                </c:pt>
                <c:pt idx="6">
                  <c:v>182680.93520569766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5B-4EB9-A3E2-4DDE833AACD1}"/>
            </c:ext>
          </c:extLst>
        </c:ser>
        <c:ser>
          <c:idx val="2"/>
          <c:order val="1"/>
          <c:tx>
            <c:v>Total patrimonio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Data!$L$4:$R$4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Data!$L$63:$R$63</c:f>
              <c:numCache>
                <c:formatCode>_(* #,##0_);_(* \(#,##0\);_(* "-"??_);_(@_)</c:formatCode>
                <c:ptCount val="7"/>
                <c:pt idx="0">
                  <c:v>821827.04234416119</c:v>
                </c:pt>
                <c:pt idx="1">
                  <c:v>668623.50885699235</c:v>
                </c:pt>
                <c:pt idx="2">
                  <c:v>440780.19476292841</c:v>
                </c:pt>
                <c:pt idx="3">
                  <c:v>485383.459247978</c:v>
                </c:pt>
                <c:pt idx="4">
                  <c:v>501752.01072386059</c:v>
                </c:pt>
                <c:pt idx="5">
                  <c:v>492187.7067466728</c:v>
                </c:pt>
                <c:pt idx="6">
                  <c:v>503085.31219294877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5B-4EB9-A3E2-4DDE833AACD1}"/>
            </c:ext>
          </c:extLst>
        </c:ser>
        <c:ser>
          <c:idx val="0"/>
          <c:order val="2"/>
          <c:tx>
            <c:v>Total activo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Data!$L$4:$R$4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Data!$L$42:$R$42</c:f>
              <c:numCache>
                <c:formatCode>_(* #,##0_);_(* \(#,##0\);_(* "-"??_);_(@_)</c:formatCode>
                <c:ptCount val="7"/>
                <c:pt idx="0">
                  <c:v>1002065.0498487153</c:v>
                </c:pt>
                <c:pt idx="1">
                  <c:v>820192.60510102566</c:v>
                </c:pt>
                <c:pt idx="2">
                  <c:v>619899.53865253518</c:v>
                </c:pt>
                <c:pt idx="3">
                  <c:v>687200.695835319</c:v>
                </c:pt>
                <c:pt idx="4">
                  <c:v>711739.61126005359</c:v>
                </c:pt>
                <c:pt idx="5">
                  <c:v>647360.87391337799</c:v>
                </c:pt>
                <c:pt idx="6">
                  <c:v>685766.24739864643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5B-4EB9-A3E2-4DDE833AAC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2855455"/>
        <c:axId val="1802431599"/>
      </c:barChart>
      <c:catAx>
        <c:axId val="12728554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>
                    <a:latin typeface="Leelawadee" panose="020B0502040204020203" pitchFamily="34" charset="-34"/>
                    <a:cs typeface="Leelawadee" panose="020B0502040204020203" pitchFamily="34" charset="-34"/>
                  </a:rPr>
                  <a:t>Años de Estufio</a:t>
                </a:r>
              </a:p>
            </c:rich>
          </c:tx>
          <c:layout>
            <c:manualLayout>
              <c:xMode val="edge"/>
              <c:yMode val="edge"/>
              <c:x val="0.42200862426355179"/>
              <c:y val="0.85892860541877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1802431599"/>
        <c:crosses val="autoZero"/>
        <c:auto val="1"/>
        <c:lblAlgn val="ctr"/>
        <c:lblOffset val="100"/>
        <c:noMultiLvlLbl val="0"/>
      </c:catAx>
      <c:valAx>
        <c:axId val="1802431599"/>
        <c:scaling>
          <c:orientation val="minMax"/>
          <c:max val="1010000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>
                    <a:latin typeface="Leelawadee" panose="020B0502040204020203" pitchFamily="34" charset="-34"/>
                    <a:cs typeface="Leelawadee" panose="020B0502040204020203" pitchFamily="34" charset="-34"/>
                  </a:rPr>
                  <a:t>Cifras</a:t>
                </a:r>
                <a:r>
                  <a:rPr lang="es-CO" baseline="0">
                    <a:latin typeface="Leelawadee" panose="020B0502040204020203" pitchFamily="34" charset="-34"/>
                    <a:cs typeface="Leelawadee" panose="020B0502040204020203" pitchFamily="34" charset="-34"/>
                  </a:rPr>
                  <a:t> en USD miles a 31 de diciembre</a:t>
                </a:r>
                <a:endParaRPr lang="es-CO">
                  <a:latin typeface="Leelawadee" panose="020B0502040204020203" pitchFamily="34" charset="-34"/>
                  <a:cs typeface="Leelawadee" panose="020B0502040204020203" pitchFamily="34" charset="-34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1272855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4986206147074383"/>
          <c:y val="7.5064163796274758E-2"/>
          <c:w val="0.13603666110064078"/>
          <c:h val="0.297548704079718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5400" cap="flat" cmpd="sng" algn="ctr">
      <a:solidFill>
        <a:schemeClr val="accent6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r>
              <a:rPr lang="es-CO" b="1">
                <a:latin typeface="Leelawadee" panose="020B0502040204020203" pitchFamily="34" charset="-34"/>
                <a:cs typeface="Leelawadee" panose="020B0502040204020203" pitchFamily="34" charset="-34"/>
              </a:rPr>
              <a:t>Relación</a:t>
            </a:r>
            <a:r>
              <a:rPr lang="es-CO" b="1" baseline="0">
                <a:latin typeface="Leelawadee" panose="020B0502040204020203" pitchFamily="34" charset="-34"/>
                <a:cs typeface="Leelawadee" panose="020B0502040204020203" pitchFamily="34" charset="-34"/>
              </a:rPr>
              <a:t> del Activo Corriente al Activo total</a:t>
            </a:r>
            <a:r>
              <a:rPr lang="es-CO" b="1">
                <a:latin typeface="Leelawadee" panose="020B0502040204020203" pitchFamily="34" charset="-34"/>
                <a:cs typeface="Leelawadee" panose="020B0502040204020203" pitchFamily="34" charset="-34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4680077307772194"/>
          <c:y val="9.4249961071010718E-2"/>
          <c:w val="0.69757713722406312"/>
          <c:h val="0.67744620983119053"/>
        </c:manualLayout>
      </c:layout>
      <c:barChart>
        <c:barDir val="col"/>
        <c:grouping val="clustered"/>
        <c:varyColors val="0"/>
        <c:ser>
          <c:idx val="0"/>
          <c:order val="0"/>
          <c:tx>
            <c:v>Total activo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Data!$L$4:$R$4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Data!$L$42:$R$42</c:f>
              <c:numCache>
                <c:formatCode>_(* #,##0_);_(* \(#,##0\);_(* "-"??_);_(@_)</c:formatCode>
                <c:ptCount val="7"/>
                <c:pt idx="0">
                  <c:v>1002065.0498487153</c:v>
                </c:pt>
                <c:pt idx="1">
                  <c:v>820192.60510102566</c:v>
                </c:pt>
                <c:pt idx="2">
                  <c:v>619899.53865253518</c:v>
                </c:pt>
                <c:pt idx="3">
                  <c:v>687200.695835319</c:v>
                </c:pt>
                <c:pt idx="4">
                  <c:v>711739.61126005359</c:v>
                </c:pt>
                <c:pt idx="5">
                  <c:v>647360.87391337799</c:v>
                </c:pt>
                <c:pt idx="6">
                  <c:v>685766.24739864643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90-4CA5-9DE3-EC97CE9F119E}"/>
            </c:ext>
          </c:extLst>
        </c:ser>
        <c:ser>
          <c:idx val="1"/>
          <c:order val="1"/>
          <c:tx>
            <c:v>Activo corriente</c:v>
          </c:tx>
          <c:spPr>
            <a:solidFill>
              <a:schemeClr val="accent4"/>
            </a:solidFill>
            <a:ln w="19050" cap="flat" cmpd="sng" algn="ctr">
              <a:solidFill>
                <a:schemeClr val="lt1"/>
              </a:solidFill>
              <a:prstDash val="solid"/>
              <a:miter lim="800000"/>
            </a:ln>
            <a:effectLst/>
          </c:spPr>
          <c:invertIfNegative val="0"/>
          <c:cat>
            <c:numRef>
              <c:f>Data!$L$4:$R$4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Data!$L$36:$R$36</c:f>
              <c:numCache>
                <c:formatCode>_(* #,##0_);_(* \(#,##0\);_(* "-"??_);_(@_)</c:formatCode>
                <c:ptCount val="7"/>
                <c:pt idx="0">
                  <c:v>213207.18485803108</c:v>
                </c:pt>
                <c:pt idx="1">
                  <c:v>192765.60527657723</c:v>
                </c:pt>
                <c:pt idx="2">
                  <c:v>165151.27942161699</c:v>
                </c:pt>
                <c:pt idx="3">
                  <c:v>188247.11484948563</c:v>
                </c:pt>
                <c:pt idx="4">
                  <c:v>198770.77747989277</c:v>
                </c:pt>
                <c:pt idx="5">
                  <c:v>179914.76267405186</c:v>
                </c:pt>
                <c:pt idx="6">
                  <c:v>197792.89258316703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90-4CA5-9DE3-EC97CE9F11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4039728"/>
        <c:axId val="250398208"/>
      </c:barChart>
      <c:catAx>
        <c:axId val="264039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>
                    <a:latin typeface="Leelawadee" panose="020B0502040204020203" pitchFamily="34" charset="-34"/>
                    <a:cs typeface="Leelawadee" panose="020B0502040204020203" pitchFamily="34" charset="-34"/>
                  </a:rPr>
                  <a:t>Años de Estudio</a:t>
                </a:r>
              </a:p>
            </c:rich>
          </c:tx>
          <c:layout>
            <c:manualLayout>
              <c:xMode val="edge"/>
              <c:yMode val="edge"/>
              <c:x val="0.42995591763265634"/>
              <c:y val="0.828146941736582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250398208"/>
        <c:crosses val="autoZero"/>
        <c:auto val="1"/>
        <c:lblAlgn val="ctr"/>
        <c:lblOffset val="100"/>
        <c:noMultiLvlLbl val="0"/>
      </c:catAx>
      <c:valAx>
        <c:axId val="250398208"/>
        <c:scaling>
          <c:orientation val="minMax"/>
          <c:max val="1010000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>
                    <a:latin typeface="Leelawadee" panose="020B0502040204020203" pitchFamily="34" charset="-34"/>
                    <a:cs typeface="Leelawadee" panose="020B0502040204020203" pitchFamily="34" charset="-34"/>
                  </a:rPr>
                  <a:t>Cifras en USD</a:t>
                </a:r>
                <a:r>
                  <a:rPr lang="es-CO" baseline="0">
                    <a:latin typeface="Leelawadee" panose="020B0502040204020203" pitchFamily="34" charset="-34"/>
                    <a:cs typeface="Leelawadee" panose="020B0502040204020203" pitchFamily="34" charset="-34"/>
                  </a:rPr>
                  <a:t> miles a 31 de diceimbre</a:t>
                </a:r>
                <a:endParaRPr lang="es-CO">
                  <a:latin typeface="Leelawadee" panose="020B0502040204020203" pitchFamily="34" charset="-34"/>
                  <a:cs typeface="Leelawadee" panose="020B0502040204020203" pitchFamily="34" charset="-34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264039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865994972254966"/>
          <c:y val="6.6955639937043079E-2"/>
          <c:w val="0.13079581701133533"/>
          <c:h val="0.23533669687879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5400" cap="flat" cmpd="sng" algn="ctr">
      <a:solidFill>
        <a:schemeClr val="accent4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r>
              <a:rPr lang="es-CO" b="1">
                <a:latin typeface="Leelawadee" panose="020B0502040204020203" pitchFamily="34" charset="-34"/>
                <a:cs typeface="Leelawadee" panose="020B0502040204020203" pitchFamily="34" charset="-34"/>
              </a:rPr>
              <a:t>Ciclo conversión de efectivo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3079977938192788"/>
          <c:y val="8.8933865838687218E-2"/>
          <c:w val="0.68231622321628993"/>
          <c:h val="0.71528717627219485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'Resumen Ejecutivo'!$C$36</c:f>
              <c:strCache>
                <c:ptCount val="1"/>
                <c:pt idx="0">
                  <c:v>Ciclo de Conversión de Efectivo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B5C1-469E-8CFB-699181AAB37E}"/>
              </c:ext>
            </c:extLst>
          </c:dPt>
          <c:cat>
            <c:numRef>
              <c:f>'Resumen Ejecutivo'!$D$4:$J$4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'Resumen Ejecutivo'!$D$36:$J$36</c:f>
              <c:numCache>
                <c:formatCode>#,##0" días"</c:formatCode>
                <c:ptCount val="7"/>
                <c:pt idx="0">
                  <c:v>35</c:v>
                </c:pt>
                <c:pt idx="1">
                  <c:v>25</c:v>
                </c:pt>
                <c:pt idx="2">
                  <c:v>13</c:v>
                </c:pt>
                <c:pt idx="3">
                  <c:v>36</c:v>
                </c:pt>
                <c:pt idx="4">
                  <c:v>32</c:v>
                </c:pt>
                <c:pt idx="5">
                  <c:v>21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5-475F-8B39-30B633D5BB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955663"/>
        <c:axId val="2056168271"/>
      </c:barChart>
      <c:lineChart>
        <c:grouping val="stacked"/>
        <c:varyColors val="0"/>
        <c:ser>
          <c:idx val="0"/>
          <c:order val="0"/>
          <c:tx>
            <c:strRef>
              <c:f>'Resumen Ejecutivo'!$C$33</c:f>
              <c:strCache>
                <c:ptCount val="1"/>
                <c:pt idx="0">
                  <c:v>Días Promedio Cartera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'Resumen Ejecutivo'!$D$4:$J$4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'Resumen Ejecutivo'!$D$33:$J$33</c:f>
              <c:numCache>
                <c:formatCode>#,##0" días"</c:formatCode>
                <c:ptCount val="7"/>
                <c:pt idx="0">
                  <c:v>74</c:v>
                </c:pt>
                <c:pt idx="1">
                  <c:v>81</c:v>
                </c:pt>
                <c:pt idx="2">
                  <c:v>62</c:v>
                </c:pt>
                <c:pt idx="3">
                  <c:v>64</c:v>
                </c:pt>
                <c:pt idx="4">
                  <c:v>65</c:v>
                </c:pt>
                <c:pt idx="5">
                  <c:v>55</c:v>
                </c:pt>
                <c:pt idx="6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85-475F-8B39-30B633D5BBB9}"/>
            </c:ext>
          </c:extLst>
        </c:ser>
        <c:ser>
          <c:idx val="1"/>
          <c:order val="1"/>
          <c:tx>
            <c:strRef>
              <c:f>'Resumen Ejecutivo'!$C$34</c:f>
              <c:strCache>
                <c:ptCount val="1"/>
                <c:pt idx="0">
                  <c:v>Días Promedio Inventario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'Resumen Ejecutivo'!$D$4:$J$4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'Resumen Ejecutivo'!$D$34:$J$34</c:f>
              <c:numCache>
                <c:formatCode>#,##0" días"</c:formatCode>
                <c:ptCount val="7"/>
                <c:pt idx="0">
                  <c:v>27</c:v>
                </c:pt>
                <c:pt idx="1">
                  <c:v>30</c:v>
                </c:pt>
                <c:pt idx="2">
                  <c:v>31</c:v>
                </c:pt>
                <c:pt idx="3">
                  <c:v>34</c:v>
                </c:pt>
                <c:pt idx="4">
                  <c:v>28</c:v>
                </c:pt>
                <c:pt idx="5">
                  <c:v>31</c:v>
                </c:pt>
                <c:pt idx="6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C85-475F-8B39-30B633D5BBB9}"/>
            </c:ext>
          </c:extLst>
        </c:ser>
        <c:ser>
          <c:idx val="2"/>
          <c:order val="2"/>
          <c:tx>
            <c:strRef>
              <c:f>'Resumen Ejecutivo'!$C$35</c:f>
              <c:strCache>
                <c:ptCount val="1"/>
                <c:pt idx="0">
                  <c:v>Días Promedio Pago a Proveedores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'Resumen Ejecutivo'!$D$4:$J$4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'Resumen Ejecutivo'!$D$35:$J$35</c:f>
              <c:numCache>
                <c:formatCode>#,##0" días"</c:formatCode>
                <c:ptCount val="7"/>
                <c:pt idx="0">
                  <c:v>66</c:v>
                </c:pt>
                <c:pt idx="1">
                  <c:v>86</c:v>
                </c:pt>
                <c:pt idx="2">
                  <c:v>80</c:v>
                </c:pt>
                <c:pt idx="3">
                  <c:v>62</c:v>
                </c:pt>
                <c:pt idx="4">
                  <c:v>61</c:v>
                </c:pt>
                <c:pt idx="5">
                  <c:v>65</c:v>
                </c:pt>
                <c:pt idx="6">
                  <c:v>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C85-475F-8B39-30B633D5BB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17955663"/>
        <c:axId val="2056168271"/>
      </c:lineChart>
      <c:catAx>
        <c:axId val="18179556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>
                    <a:solidFill>
                      <a:sysClr val="windowText" lastClr="000000"/>
                    </a:solidFill>
                    <a:latin typeface="Leelawadee" panose="020B0502040204020203" pitchFamily="34" charset="-34"/>
                    <a:cs typeface="Leelawadee" panose="020B0502040204020203" pitchFamily="34" charset="-34"/>
                  </a:rPr>
                  <a:t>Años de Estudio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2056168271"/>
        <c:crosses val="autoZero"/>
        <c:auto val="1"/>
        <c:lblAlgn val="ctr"/>
        <c:lblOffset val="100"/>
        <c:noMultiLvlLbl val="0"/>
      </c:catAx>
      <c:valAx>
        <c:axId val="2056168271"/>
        <c:scaling>
          <c:orientation val="minMax"/>
          <c:max val="2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>
                    <a:latin typeface="Leelawadee" panose="020B0502040204020203" pitchFamily="34" charset="-34"/>
                    <a:cs typeface="Leelawadee" panose="020B0502040204020203" pitchFamily="34" charset="-34"/>
                  </a:rPr>
                  <a:t>Eje en Dias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#,##0&quot; días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1817955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886259528314342"/>
          <c:y val="8.1808182040614685E-2"/>
          <c:w val="0.16879600866202193"/>
          <c:h val="0.462043276828857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5400" cap="flat" cmpd="sng" algn="ctr">
      <a:solidFill>
        <a:schemeClr val="accent6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r>
              <a:rPr lang="es-CO" b="1">
                <a:latin typeface="Leelawadee" panose="020B0502040204020203" pitchFamily="34" charset="-34"/>
                <a:cs typeface="Leelawadee" panose="020B0502040204020203" pitchFamily="34" charset="-34"/>
              </a:rPr>
              <a:t>Relación</a:t>
            </a:r>
            <a:r>
              <a:rPr lang="es-CO" b="1" baseline="0">
                <a:latin typeface="Leelawadee" panose="020B0502040204020203" pitchFamily="34" charset="-34"/>
                <a:cs typeface="Leelawadee" panose="020B0502040204020203" pitchFamily="34" charset="-34"/>
              </a:rPr>
              <a:t> del CTO al Ciclo de Conversión de efectivo</a:t>
            </a:r>
            <a:endParaRPr lang="es-CO" b="1">
              <a:latin typeface="Leelawadee" panose="020B0502040204020203" pitchFamily="34" charset="-34"/>
              <a:cs typeface="Leelawadee" panose="020B0502040204020203" pitchFamily="34" charset="-34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2949883332897924"/>
          <c:y val="9.5189470378568924E-2"/>
          <c:w val="0.59978399055113352"/>
          <c:h val="0.69957611208941417"/>
        </c:manualLayout>
      </c:layout>
      <c:barChart>
        <c:barDir val="col"/>
        <c:grouping val="clustered"/>
        <c:varyColors val="0"/>
        <c:ser>
          <c:idx val="0"/>
          <c:order val="0"/>
          <c:tx>
            <c:v>capital de trabajo operativo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'Resumen Ejecutivo'!$D$4:$J$4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'Resumen Ejecutivo'!$D$48:$J$48</c:f>
              <c:numCache>
                <c:formatCode>_-[$$-240A]\ * #,##0_-;\-[$$-240A]\ * #,##0_-;_-[$$-240A]\ * "-"??_-;_-@_-</c:formatCode>
                <c:ptCount val="7"/>
                <c:pt idx="0">
                  <c:v>45729.514279931282</c:v>
                </c:pt>
                <c:pt idx="1">
                  <c:v>35049.279820770244</c:v>
                </c:pt>
                <c:pt idx="2">
                  <c:v>18307.207244393496</c:v>
                </c:pt>
                <c:pt idx="3">
                  <c:v>35518.593932769247</c:v>
                </c:pt>
                <c:pt idx="4">
                  <c:v>36811.997319034854</c:v>
                </c:pt>
                <c:pt idx="5">
                  <c:v>27417.185937379792</c:v>
                </c:pt>
                <c:pt idx="6">
                  <c:v>28747.017216231237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C9-4211-AB9A-21284A657E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6309920"/>
        <c:axId val="250376992"/>
      </c:barChart>
      <c:lineChart>
        <c:grouping val="standard"/>
        <c:varyColors val="0"/>
        <c:ser>
          <c:idx val="2"/>
          <c:order val="1"/>
          <c:tx>
            <c:strRef>
              <c:f>'Resumen Ejecutivo'!$C$36</c:f>
              <c:strCache>
                <c:ptCount val="1"/>
                <c:pt idx="0">
                  <c:v>Ciclo de Conversión de Efectivo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'Resumen Ejecutivo'!$D$4:$J$4</c:f>
              <c:numCache>
                <c:formatCode>General</c:formatCod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</c:numCache>
            </c:numRef>
          </c:cat>
          <c:val>
            <c:numRef>
              <c:f>'Resumen Ejecutivo'!$D$36:$J$36</c:f>
              <c:numCache>
                <c:formatCode>#,##0" días"</c:formatCode>
                <c:ptCount val="7"/>
                <c:pt idx="0">
                  <c:v>35</c:v>
                </c:pt>
                <c:pt idx="1">
                  <c:v>25</c:v>
                </c:pt>
                <c:pt idx="2">
                  <c:v>13</c:v>
                </c:pt>
                <c:pt idx="3">
                  <c:v>36</c:v>
                </c:pt>
                <c:pt idx="4">
                  <c:v>32</c:v>
                </c:pt>
                <c:pt idx="5">
                  <c:v>21</c:v>
                </c:pt>
                <c:pt idx="6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C9-4211-AB9A-21284A657E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310720"/>
        <c:axId val="250362432"/>
      </c:lineChart>
      <c:catAx>
        <c:axId val="186309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>
                    <a:latin typeface="Leelawadee" panose="020B0502040204020203" pitchFamily="34" charset="-34"/>
                    <a:cs typeface="Leelawadee" panose="020B0502040204020203" pitchFamily="34" charset="-34"/>
                  </a:rPr>
                  <a:t>Años de estudio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250376992"/>
        <c:crosses val="autoZero"/>
        <c:auto val="1"/>
        <c:lblAlgn val="ctr"/>
        <c:lblOffset val="100"/>
        <c:noMultiLvlLbl val="0"/>
      </c:catAx>
      <c:valAx>
        <c:axId val="250376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>
                    <a:latin typeface="Leelawadee" panose="020B0502040204020203" pitchFamily="34" charset="-34"/>
                    <a:cs typeface="Leelawadee" panose="020B0502040204020203" pitchFamily="34" charset="-34"/>
                  </a:rPr>
                  <a:t>Cifras en USD</a:t>
                </a:r>
                <a:r>
                  <a:rPr lang="es-CO" baseline="0">
                    <a:latin typeface="Leelawadee" panose="020B0502040204020203" pitchFamily="34" charset="-34"/>
                    <a:cs typeface="Leelawadee" panose="020B0502040204020203" pitchFamily="34" charset="-34"/>
                  </a:rPr>
                  <a:t> miles a 31 de diceimbre</a:t>
                </a:r>
                <a:endParaRPr lang="es-CO">
                  <a:latin typeface="Leelawadee" panose="020B0502040204020203" pitchFamily="34" charset="-34"/>
                  <a:cs typeface="Leelawadee" panose="020B0502040204020203" pitchFamily="34" charset="-34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_-[$$-240A]\ * #,##0_-;\-[$$-240A]\ * #,##0_-;_-[$$-240A]\ * &quot;-&quot;??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186309920"/>
        <c:crosses val="autoZero"/>
        <c:crossBetween val="between"/>
      </c:valAx>
      <c:valAx>
        <c:axId val="25036243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Leelawadee" panose="020B0502040204020203" pitchFamily="34" charset="-34"/>
                    <a:ea typeface="+mn-ea"/>
                    <a:cs typeface="Leelawadee" panose="020B0502040204020203" pitchFamily="34" charset="-34"/>
                  </a:defRPr>
                </a:pPr>
                <a:r>
                  <a:rPr lang="es-CO">
                    <a:latin typeface="Leelawadee" panose="020B0502040204020203" pitchFamily="34" charset="-34"/>
                    <a:cs typeface="Leelawadee" panose="020B0502040204020203" pitchFamily="34" charset="-34"/>
                  </a:rPr>
                  <a:t>Eje en dias - Ciclo</a:t>
                </a:r>
                <a:r>
                  <a:rPr lang="es-CO" baseline="0">
                    <a:latin typeface="Leelawadee" panose="020B0502040204020203" pitchFamily="34" charset="-34"/>
                    <a:cs typeface="Leelawadee" panose="020B0502040204020203" pitchFamily="34" charset="-34"/>
                  </a:rPr>
                  <a:t> de conversion a efectivo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Leelawadee" panose="020B0502040204020203" pitchFamily="34" charset="-34"/>
                  <a:ea typeface="+mn-ea"/>
                  <a:cs typeface="Leelawadee" panose="020B0502040204020203" pitchFamily="34" charset="-34"/>
                </a:defRPr>
              </a:pPr>
              <a:endParaRPr lang="es-CO"/>
            </a:p>
          </c:txPr>
        </c:title>
        <c:numFmt formatCode="#,##0&quot; días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Leelawadee" panose="020B0502040204020203" pitchFamily="34" charset="-34"/>
                <a:ea typeface="+mn-ea"/>
                <a:cs typeface="Leelawadee" panose="020B0502040204020203" pitchFamily="34" charset="-34"/>
              </a:defRPr>
            </a:pPr>
            <a:endParaRPr lang="es-CO"/>
          </a:p>
        </c:txPr>
        <c:crossAx val="186310720"/>
        <c:crosses val="max"/>
        <c:crossBetween val="between"/>
      </c:valAx>
      <c:catAx>
        <c:axId val="1863107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5036243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821377648040717"/>
          <c:y val="4.1042114363244626E-2"/>
          <c:w val="0.15956264617762275"/>
          <c:h val="0.340696270651299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/>
              </a:solidFill>
              <a:latin typeface="Leelawadee" panose="020B0502040204020203" pitchFamily="34" charset="-34"/>
              <a:ea typeface="+mn-ea"/>
              <a:cs typeface="Leelawadee" panose="020B0502040204020203" pitchFamily="34" charset="-34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5400" cap="flat" cmpd="sng" algn="ctr">
      <a:solidFill>
        <a:schemeClr val="accent4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ESF!A1"/><Relationship Id="rId3" Type="http://schemas.openxmlformats.org/officeDocument/2006/relationships/hyperlink" Target="#EIR!A1"/><Relationship Id="rId7" Type="http://schemas.openxmlformats.org/officeDocument/2006/relationships/hyperlink" Target="#'EIR Comparativo'!A1"/><Relationship Id="rId2" Type="http://schemas.openxmlformats.org/officeDocument/2006/relationships/hyperlink" Target="#Data!A1"/><Relationship Id="rId1" Type="http://schemas.openxmlformats.org/officeDocument/2006/relationships/image" Target="../media/image1.png"/><Relationship Id="rId6" Type="http://schemas.openxmlformats.org/officeDocument/2006/relationships/hyperlink" Target="#'ESF Comparativo'!A1"/><Relationship Id="rId5" Type="http://schemas.openxmlformats.org/officeDocument/2006/relationships/hyperlink" Target="#'Flujo de Caja'!A1"/><Relationship Id="rId4" Type="http://schemas.openxmlformats.org/officeDocument/2006/relationships/hyperlink" Target="#'Resumen Ejecutivo'!A1"/><Relationship Id="rId9" Type="http://schemas.openxmlformats.org/officeDocument/2006/relationships/hyperlink" Target="#Gr&#225;ficas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Flujo de Caja'!A1"/><Relationship Id="rId2" Type="http://schemas.openxmlformats.org/officeDocument/2006/relationships/hyperlink" Target="#Dashboard!A1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Data!A1"/><Relationship Id="rId2" Type="http://schemas.openxmlformats.org/officeDocument/2006/relationships/hyperlink" Target="#Dashboard!A1"/><Relationship Id="rId1" Type="http://schemas.openxmlformats.org/officeDocument/2006/relationships/image" Target="../media/image2.png"/><Relationship Id="rId4" Type="http://schemas.openxmlformats.org/officeDocument/2006/relationships/hyperlink" Target="#'Resumen Ejecutivo'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'Flujo de Caja'!A1"/><Relationship Id="rId2" Type="http://schemas.openxmlformats.org/officeDocument/2006/relationships/hyperlink" Target="#Dashboard!A1"/><Relationship Id="rId1" Type="http://schemas.openxmlformats.org/officeDocument/2006/relationships/image" Target="../media/image2.png"/><Relationship Id="rId4" Type="http://schemas.openxmlformats.org/officeDocument/2006/relationships/hyperlink" Target="#EIR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'Resumen Ejecutivo'!A1"/><Relationship Id="rId2" Type="http://schemas.openxmlformats.org/officeDocument/2006/relationships/hyperlink" Target="#Dashboard!A1"/><Relationship Id="rId1" Type="http://schemas.openxmlformats.org/officeDocument/2006/relationships/image" Target="../media/image2.png"/><Relationship Id="rId4" Type="http://schemas.openxmlformats.org/officeDocument/2006/relationships/hyperlink" Target="#ESF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'EIR Comparativo'!A1"/><Relationship Id="rId2" Type="http://schemas.openxmlformats.org/officeDocument/2006/relationships/hyperlink" Target="#Dashboard!A1"/><Relationship Id="rId1" Type="http://schemas.openxmlformats.org/officeDocument/2006/relationships/image" Target="../media/image2.png"/><Relationship Id="rId4" Type="http://schemas.openxmlformats.org/officeDocument/2006/relationships/hyperlink" Target="#EIR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'ESF Comparativo'!A1"/><Relationship Id="rId2" Type="http://schemas.openxmlformats.org/officeDocument/2006/relationships/hyperlink" Target="#Dashboard!A1"/><Relationship Id="rId1" Type="http://schemas.openxmlformats.org/officeDocument/2006/relationships/image" Target="../media/image2.png"/><Relationship Id="rId4" Type="http://schemas.openxmlformats.org/officeDocument/2006/relationships/hyperlink" Target="#ESF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'EIR Comparativo'!A1"/><Relationship Id="rId2" Type="http://schemas.openxmlformats.org/officeDocument/2006/relationships/hyperlink" Target="#Dashboard!A1"/><Relationship Id="rId1" Type="http://schemas.openxmlformats.org/officeDocument/2006/relationships/image" Target="../media/image2.png"/><Relationship Id="rId4" Type="http://schemas.openxmlformats.org/officeDocument/2006/relationships/hyperlink" Target="#Gr&#225;ficas!A1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13" Type="http://schemas.openxmlformats.org/officeDocument/2006/relationships/chart" Target="../charts/chart10.xml"/><Relationship Id="rId3" Type="http://schemas.openxmlformats.org/officeDocument/2006/relationships/hyperlink" Target="#'ESF Comparativo'!A1"/><Relationship Id="rId7" Type="http://schemas.openxmlformats.org/officeDocument/2006/relationships/chart" Target="../charts/chart4.xml"/><Relationship Id="rId12" Type="http://schemas.openxmlformats.org/officeDocument/2006/relationships/chart" Target="../charts/chart9.xml"/><Relationship Id="rId2" Type="http://schemas.openxmlformats.org/officeDocument/2006/relationships/hyperlink" Target="#Dashboard!A1"/><Relationship Id="rId1" Type="http://schemas.openxmlformats.org/officeDocument/2006/relationships/image" Target="../media/image3.png"/><Relationship Id="rId6" Type="http://schemas.openxmlformats.org/officeDocument/2006/relationships/chart" Target="../charts/chart3.xml"/><Relationship Id="rId11" Type="http://schemas.openxmlformats.org/officeDocument/2006/relationships/chart" Target="../charts/chart8.xml"/><Relationship Id="rId5" Type="http://schemas.openxmlformats.org/officeDocument/2006/relationships/chart" Target="../charts/chart2.xml"/><Relationship Id="rId15" Type="http://schemas.openxmlformats.org/officeDocument/2006/relationships/chart" Target="../charts/chart12.xml"/><Relationship Id="rId10" Type="http://schemas.openxmlformats.org/officeDocument/2006/relationships/chart" Target="../charts/chart7.xml"/><Relationship Id="rId4" Type="http://schemas.openxmlformats.org/officeDocument/2006/relationships/chart" Target="../charts/chart1.xml"/><Relationship Id="rId9" Type="http://schemas.openxmlformats.org/officeDocument/2006/relationships/chart" Target="../charts/chart6.xml"/><Relationship Id="rId14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647700</xdr:colOff>
      <xdr:row>29</xdr:row>
      <xdr:rowOff>133350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99C75C7-F62D-440A-83EE-221BD677F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116671" cy="5657850"/>
        </a:xfrm>
        <a:prstGeom prst="rect">
          <a:avLst/>
        </a:prstGeom>
      </xdr:spPr>
    </xdr:pic>
    <xdr:clientData/>
  </xdr:twoCellAnchor>
  <xdr:twoCellAnchor>
    <xdr:from>
      <xdr:col>0</xdr:col>
      <xdr:colOff>647700</xdr:colOff>
      <xdr:row>10</xdr:row>
      <xdr:rowOff>9525</xdr:rowOff>
    </xdr:from>
    <xdr:to>
      <xdr:col>2</xdr:col>
      <xdr:colOff>171450</xdr:colOff>
      <xdr:row>15</xdr:row>
      <xdr:rowOff>57150</xdr:rowOff>
    </xdr:to>
    <xdr:sp macro="" textlink="">
      <xdr:nvSpPr>
        <xdr:cNvPr id="13" name="Elipse 12">
          <a:hlinkClick xmlns:r="http://schemas.openxmlformats.org/officeDocument/2006/relationships" r:id="rId2" tooltip="Data"/>
          <a:extLst>
            <a:ext uri="{FF2B5EF4-FFF2-40B4-BE49-F238E27FC236}">
              <a16:creationId xmlns:a16="http://schemas.microsoft.com/office/drawing/2014/main" id="{4369304E-3BE8-40DC-858F-C80B666A3F20}"/>
            </a:ext>
          </a:extLst>
        </xdr:cNvPr>
        <xdr:cNvSpPr/>
      </xdr:nvSpPr>
      <xdr:spPr>
        <a:xfrm>
          <a:off x="647700" y="1914525"/>
          <a:ext cx="971550" cy="1000125"/>
        </a:xfrm>
        <a:prstGeom prst="ellipse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5</xdr:col>
      <xdr:colOff>504825</xdr:colOff>
      <xdr:row>10</xdr:row>
      <xdr:rowOff>57150</xdr:rowOff>
    </xdr:from>
    <xdr:to>
      <xdr:col>7</xdr:col>
      <xdr:colOff>28575</xdr:colOff>
      <xdr:row>15</xdr:row>
      <xdr:rowOff>104775</xdr:rowOff>
    </xdr:to>
    <xdr:sp macro="" textlink="">
      <xdr:nvSpPr>
        <xdr:cNvPr id="14" name="Elipse 13">
          <a:hlinkClick xmlns:r="http://schemas.openxmlformats.org/officeDocument/2006/relationships" r:id="rId3" tooltip="EIR"/>
          <a:extLst>
            <a:ext uri="{FF2B5EF4-FFF2-40B4-BE49-F238E27FC236}">
              <a16:creationId xmlns:a16="http://schemas.microsoft.com/office/drawing/2014/main" id="{219C1A52-33E2-40C0-961F-45685FC15970}"/>
            </a:ext>
          </a:extLst>
        </xdr:cNvPr>
        <xdr:cNvSpPr/>
      </xdr:nvSpPr>
      <xdr:spPr>
        <a:xfrm>
          <a:off x="4124325" y="1962150"/>
          <a:ext cx="971550" cy="1000125"/>
        </a:xfrm>
        <a:prstGeom prst="ellipse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4</xdr:col>
      <xdr:colOff>76200</xdr:colOff>
      <xdr:row>10</xdr:row>
      <xdr:rowOff>38100</xdr:rowOff>
    </xdr:from>
    <xdr:to>
      <xdr:col>5</xdr:col>
      <xdr:colOff>323850</xdr:colOff>
      <xdr:row>15</xdr:row>
      <xdr:rowOff>85725</xdr:rowOff>
    </xdr:to>
    <xdr:sp macro="" textlink="">
      <xdr:nvSpPr>
        <xdr:cNvPr id="15" name="Elipse 14">
          <a:hlinkClick xmlns:r="http://schemas.openxmlformats.org/officeDocument/2006/relationships" r:id="rId4" tooltip="Resumen Ejecutivo"/>
          <a:extLst>
            <a:ext uri="{FF2B5EF4-FFF2-40B4-BE49-F238E27FC236}">
              <a16:creationId xmlns:a16="http://schemas.microsoft.com/office/drawing/2014/main" id="{3B8CDE03-5951-4520-8D4E-10EE39094A6F}"/>
            </a:ext>
          </a:extLst>
        </xdr:cNvPr>
        <xdr:cNvSpPr/>
      </xdr:nvSpPr>
      <xdr:spPr>
        <a:xfrm>
          <a:off x="2971800" y="1943100"/>
          <a:ext cx="971550" cy="1000125"/>
        </a:xfrm>
        <a:prstGeom prst="ellipse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371475</xdr:colOff>
      <xdr:row>10</xdr:row>
      <xdr:rowOff>9525</xdr:rowOff>
    </xdr:from>
    <xdr:to>
      <xdr:col>3</xdr:col>
      <xdr:colOff>619125</xdr:colOff>
      <xdr:row>15</xdr:row>
      <xdr:rowOff>57150</xdr:rowOff>
    </xdr:to>
    <xdr:sp macro="" textlink="">
      <xdr:nvSpPr>
        <xdr:cNvPr id="16" name="Elipse 15">
          <a:hlinkClick xmlns:r="http://schemas.openxmlformats.org/officeDocument/2006/relationships" r:id="rId5" tooltip="Flujo de Caja"/>
          <a:extLst>
            <a:ext uri="{FF2B5EF4-FFF2-40B4-BE49-F238E27FC236}">
              <a16:creationId xmlns:a16="http://schemas.microsoft.com/office/drawing/2014/main" id="{294A5B5C-9C8C-43FA-993A-17A8D4C18B61}"/>
            </a:ext>
          </a:extLst>
        </xdr:cNvPr>
        <xdr:cNvSpPr/>
      </xdr:nvSpPr>
      <xdr:spPr>
        <a:xfrm>
          <a:off x="1819275" y="1914525"/>
          <a:ext cx="971550" cy="1000125"/>
        </a:xfrm>
        <a:prstGeom prst="ellipse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10</xdr:col>
      <xdr:colOff>304800</xdr:colOff>
      <xdr:row>10</xdr:row>
      <xdr:rowOff>9525</xdr:rowOff>
    </xdr:from>
    <xdr:to>
      <xdr:col>11</xdr:col>
      <xdr:colOff>552450</xdr:colOff>
      <xdr:row>15</xdr:row>
      <xdr:rowOff>57150</xdr:rowOff>
    </xdr:to>
    <xdr:sp macro="" textlink="">
      <xdr:nvSpPr>
        <xdr:cNvPr id="17" name="Elipse 16">
          <a:hlinkClick xmlns:r="http://schemas.openxmlformats.org/officeDocument/2006/relationships" r:id="rId6" tooltip="ESF Comparativo"/>
          <a:extLst>
            <a:ext uri="{FF2B5EF4-FFF2-40B4-BE49-F238E27FC236}">
              <a16:creationId xmlns:a16="http://schemas.microsoft.com/office/drawing/2014/main" id="{8B915784-48B9-44EC-B0A0-E7279940361A}"/>
            </a:ext>
          </a:extLst>
        </xdr:cNvPr>
        <xdr:cNvSpPr/>
      </xdr:nvSpPr>
      <xdr:spPr>
        <a:xfrm>
          <a:off x="7543800" y="1914525"/>
          <a:ext cx="971550" cy="1000125"/>
        </a:xfrm>
        <a:prstGeom prst="ellipse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8</xdr:col>
      <xdr:colOff>619125</xdr:colOff>
      <xdr:row>10</xdr:row>
      <xdr:rowOff>0</xdr:rowOff>
    </xdr:from>
    <xdr:to>
      <xdr:col>10</xdr:col>
      <xdr:colOff>142875</xdr:colOff>
      <xdr:row>15</xdr:row>
      <xdr:rowOff>47625</xdr:rowOff>
    </xdr:to>
    <xdr:sp macro="" textlink="">
      <xdr:nvSpPr>
        <xdr:cNvPr id="18" name="Elipse 17">
          <a:hlinkClick xmlns:r="http://schemas.openxmlformats.org/officeDocument/2006/relationships" r:id="rId7" tooltip="EIR Comparativo"/>
          <a:extLst>
            <a:ext uri="{FF2B5EF4-FFF2-40B4-BE49-F238E27FC236}">
              <a16:creationId xmlns:a16="http://schemas.microsoft.com/office/drawing/2014/main" id="{6ABD44CD-A70F-4711-9FAD-32576718DAEC}"/>
            </a:ext>
          </a:extLst>
        </xdr:cNvPr>
        <xdr:cNvSpPr/>
      </xdr:nvSpPr>
      <xdr:spPr>
        <a:xfrm>
          <a:off x="6410325" y="1905000"/>
          <a:ext cx="971550" cy="1000125"/>
        </a:xfrm>
        <a:prstGeom prst="ellipse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7</xdr:col>
      <xdr:colOff>228600</xdr:colOff>
      <xdr:row>10</xdr:row>
      <xdr:rowOff>9525</xdr:rowOff>
    </xdr:from>
    <xdr:to>
      <xdr:col>8</xdr:col>
      <xdr:colOff>476250</xdr:colOff>
      <xdr:row>15</xdr:row>
      <xdr:rowOff>57150</xdr:rowOff>
    </xdr:to>
    <xdr:sp macro="" textlink="">
      <xdr:nvSpPr>
        <xdr:cNvPr id="19" name="Elipse 18">
          <a:hlinkClick xmlns:r="http://schemas.openxmlformats.org/officeDocument/2006/relationships" r:id="rId8" tooltip="ESF"/>
          <a:extLst>
            <a:ext uri="{FF2B5EF4-FFF2-40B4-BE49-F238E27FC236}">
              <a16:creationId xmlns:a16="http://schemas.microsoft.com/office/drawing/2014/main" id="{FBB37BAC-F154-44AA-AA85-A22FCAA6EB33}"/>
            </a:ext>
          </a:extLst>
        </xdr:cNvPr>
        <xdr:cNvSpPr/>
      </xdr:nvSpPr>
      <xdr:spPr>
        <a:xfrm>
          <a:off x="5295900" y="1914525"/>
          <a:ext cx="971550" cy="1000125"/>
        </a:xfrm>
        <a:prstGeom prst="ellipse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11</xdr:col>
      <xdr:colOff>704850</xdr:colOff>
      <xdr:row>10</xdr:row>
      <xdr:rowOff>0</xdr:rowOff>
    </xdr:from>
    <xdr:to>
      <xdr:col>13</xdr:col>
      <xdr:colOff>228600</xdr:colOff>
      <xdr:row>15</xdr:row>
      <xdr:rowOff>47625</xdr:rowOff>
    </xdr:to>
    <xdr:sp macro="" textlink="">
      <xdr:nvSpPr>
        <xdr:cNvPr id="20" name="Elipse 19">
          <a:hlinkClick xmlns:r="http://schemas.openxmlformats.org/officeDocument/2006/relationships" r:id="rId9" tooltip="Graficas"/>
          <a:extLst>
            <a:ext uri="{FF2B5EF4-FFF2-40B4-BE49-F238E27FC236}">
              <a16:creationId xmlns:a16="http://schemas.microsoft.com/office/drawing/2014/main" id="{0E31CE47-F5FB-462E-BE7D-C04A77E2E409}"/>
            </a:ext>
          </a:extLst>
        </xdr:cNvPr>
        <xdr:cNvSpPr/>
      </xdr:nvSpPr>
      <xdr:spPr>
        <a:xfrm>
          <a:off x="8667750" y="1905000"/>
          <a:ext cx="971550" cy="1000125"/>
        </a:xfrm>
        <a:prstGeom prst="ellipse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628650</xdr:colOff>
      <xdr:row>15</xdr:row>
      <xdr:rowOff>76200</xdr:rowOff>
    </xdr:from>
    <xdr:to>
      <xdr:col>2</xdr:col>
      <xdr:colOff>257175</xdr:colOff>
      <xdr:row>17</xdr:row>
      <xdr:rowOff>171450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350C149D-AB33-4663-AB2A-E214BA81EED6}"/>
            </a:ext>
          </a:extLst>
        </xdr:cNvPr>
        <xdr:cNvSpPr txBox="1"/>
      </xdr:nvSpPr>
      <xdr:spPr>
        <a:xfrm>
          <a:off x="628650" y="2933700"/>
          <a:ext cx="1076325" cy="4762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300" b="1">
              <a:latin typeface="Leelawadee" panose="020B0502040204020203" pitchFamily="34" charset="-34"/>
              <a:cs typeface="Leelawadee" panose="020B0502040204020203" pitchFamily="34" charset="-34"/>
            </a:rPr>
            <a:t>Data</a:t>
          </a:r>
        </a:p>
      </xdr:txBody>
    </xdr:sp>
    <xdr:clientData/>
  </xdr:twoCellAnchor>
  <xdr:twoCellAnchor>
    <xdr:from>
      <xdr:col>4</xdr:col>
      <xdr:colOff>47625</xdr:colOff>
      <xdr:row>15</xdr:row>
      <xdr:rowOff>57150</xdr:rowOff>
    </xdr:from>
    <xdr:to>
      <xdr:col>5</xdr:col>
      <xdr:colOff>400050</xdr:colOff>
      <xdr:row>18</xdr:row>
      <xdr:rowOff>0</xdr:rowOff>
    </xdr:to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47BCAA54-6441-4629-B5D0-AAD0B65859B4}"/>
            </a:ext>
          </a:extLst>
        </xdr:cNvPr>
        <xdr:cNvSpPr txBox="1"/>
      </xdr:nvSpPr>
      <xdr:spPr>
        <a:xfrm>
          <a:off x="2943225" y="2914650"/>
          <a:ext cx="1076325" cy="5143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300" b="1">
              <a:latin typeface="Leelawadee" panose="020B0502040204020203" pitchFamily="34" charset="-34"/>
              <a:cs typeface="Leelawadee" panose="020B0502040204020203" pitchFamily="34" charset="-34"/>
            </a:rPr>
            <a:t>Resumen ejecutivo </a:t>
          </a:r>
        </a:p>
      </xdr:txBody>
    </xdr:sp>
    <xdr:clientData/>
  </xdr:twoCellAnchor>
  <xdr:twoCellAnchor>
    <xdr:from>
      <xdr:col>5</xdr:col>
      <xdr:colOff>457200</xdr:colOff>
      <xdr:row>15</xdr:row>
      <xdr:rowOff>66675</xdr:rowOff>
    </xdr:from>
    <xdr:to>
      <xdr:col>7</xdr:col>
      <xdr:colOff>85725</xdr:colOff>
      <xdr:row>17</xdr:row>
      <xdr:rowOff>161925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17F134BE-C007-4800-A9ED-F0767500AB03}"/>
            </a:ext>
          </a:extLst>
        </xdr:cNvPr>
        <xdr:cNvSpPr txBox="1"/>
      </xdr:nvSpPr>
      <xdr:spPr>
        <a:xfrm>
          <a:off x="4076700" y="2924175"/>
          <a:ext cx="1076325" cy="4762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300" b="1">
              <a:latin typeface="Leelawadee" panose="020B0502040204020203" pitchFamily="34" charset="-34"/>
              <a:cs typeface="Leelawadee" panose="020B0502040204020203" pitchFamily="34" charset="-34"/>
            </a:rPr>
            <a:t>EIR</a:t>
          </a:r>
        </a:p>
      </xdr:txBody>
    </xdr:sp>
    <xdr:clientData/>
  </xdr:twoCellAnchor>
  <xdr:twoCellAnchor>
    <xdr:from>
      <xdr:col>7</xdr:col>
      <xdr:colOff>180975</xdr:colOff>
      <xdr:row>15</xdr:row>
      <xdr:rowOff>47625</xdr:rowOff>
    </xdr:from>
    <xdr:to>
      <xdr:col>8</xdr:col>
      <xdr:colOff>533400</xdr:colOff>
      <xdr:row>17</xdr:row>
      <xdr:rowOff>142875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0483CF0E-8120-4CD5-A8D4-9915E247B55A}"/>
            </a:ext>
          </a:extLst>
        </xdr:cNvPr>
        <xdr:cNvSpPr txBox="1"/>
      </xdr:nvSpPr>
      <xdr:spPr>
        <a:xfrm>
          <a:off x="5248275" y="2905125"/>
          <a:ext cx="1076325" cy="4762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300" b="1">
              <a:latin typeface="Leelawadee" panose="020B0502040204020203" pitchFamily="34" charset="-34"/>
              <a:cs typeface="Leelawadee" panose="020B0502040204020203" pitchFamily="34" charset="-34"/>
            </a:rPr>
            <a:t>ESF</a:t>
          </a:r>
        </a:p>
      </xdr:txBody>
    </xdr:sp>
    <xdr:clientData/>
  </xdr:twoCellAnchor>
  <xdr:twoCellAnchor>
    <xdr:from>
      <xdr:col>8</xdr:col>
      <xdr:colOff>476250</xdr:colOff>
      <xdr:row>15</xdr:row>
      <xdr:rowOff>19050</xdr:rowOff>
    </xdr:from>
    <xdr:to>
      <xdr:col>10</xdr:col>
      <xdr:colOff>257175</xdr:colOff>
      <xdr:row>17</xdr:row>
      <xdr:rowOff>180975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21D86A0A-75AE-4C32-9978-08FAAE4159CB}"/>
            </a:ext>
          </a:extLst>
        </xdr:cNvPr>
        <xdr:cNvSpPr txBox="1"/>
      </xdr:nvSpPr>
      <xdr:spPr>
        <a:xfrm>
          <a:off x="6267450" y="2876550"/>
          <a:ext cx="1228725" cy="54292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300" b="1">
              <a:latin typeface="Leelawadee" panose="020B0502040204020203" pitchFamily="34" charset="-34"/>
              <a:cs typeface="Leelawadee" panose="020B0502040204020203" pitchFamily="34" charset="-34"/>
            </a:rPr>
            <a:t>EIR Comparativo </a:t>
          </a:r>
        </a:p>
      </xdr:txBody>
    </xdr:sp>
    <xdr:clientData/>
  </xdr:twoCellAnchor>
  <xdr:twoCellAnchor>
    <xdr:from>
      <xdr:col>10</xdr:col>
      <xdr:colOff>180975</xdr:colOff>
      <xdr:row>14</xdr:row>
      <xdr:rowOff>142875</xdr:rowOff>
    </xdr:from>
    <xdr:to>
      <xdr:col>11</xdr:col>
      <xdr:colOff>685800</xdr:colOff>
      <xdr:row>18</xdr:row>
      <xdr:rowOff>0</xdr:rowOff>
    </xdr:to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342A846E-DBC6-4203-9CFE-93DD59D9408D}"/>
            </a:ext>
          </a:extLst>
        </xdr:cNvPr>
        <xdr:cNvSpPr txBox="1"/>
      </xdr:nvSpPr>
      <xdr:spPr>
        <a:xfrm>
          <a:off x="7419975" y="2809875"/>
          <a:ext cx="1228725" cy="61912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300" b="1">
              <a:latin typeface="Leelawadee" panose="020B0502040204020203" pitchFamily="34" charset="-34"/>
              <a:cs typeface="Leelawadee" panose="020B0502040204020203" pitchFamily="34" charset="-34"/>
            </a:rPr>
            <a:t>ESF Comparativo</a:t>
          </a:r>
        </a:p>
      </xdr:txBody>
    </xdr:sp>
    <xdr:clientData/>
  </xdr:twoCellAnchor>
  <xdr:twoCellAnchor>
    <xdr:from>
      <xdr:col>12</xdr:col>
      <xdr:colOff>9525</xdr:colOff>
      <xdr:row>15</xdr:row>
      <xdr:rowOff>76200</xdr:rowOff>
    </xdr:from>
    <xdr:to>
      <xdr:col>13</xdr:col>
      <xdr:colOff>361950</xdr:colOff>
      <xdr:row>17</xdr:row>
      <xdr:rowOff>171450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5503D673-40E3-4DBE-93F8-D8ED062916D0}"/>
            </a:ext>
          </a:extLst>
        </xdr:cNvPr>
        <xdr:cNvSpPr txBox="1"/>
      </xdr:nvSpPr>
      <xdr:spPr>
        <a:xfrm>
          <a:off x="8696325" y="2933700"/>
          <a:ext cx="1076325" cy="4762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300" b="1">
              <a:latin typeface="Leelawadee" panose="020B0502040204020203" pitchFamily="34" charset="-34"/>
              <a:cs typeface="Leelawadee" panose="020B0502040204020203" pitchFamily="34" charset="-34"/>
            </a:rPr>
            <a:t>Graficas</a:t>
          </a:r>
        </a:p>
      </xdr:txBody>
    </xdr:sp>
    <xdr:clientData/>
  </xdr:twoCellAnchor>
  <xdr:twoCellAnchor>
    <xdr:from>
      <xdr:col>2</xdr:col>
      <xdr:colOff>342900</xdr:colOff>
      <xdr:row>15</xdr:row>
      <xdr:rowOff>47625</xdr:rowOff>
    </xdr:from>
    <xdr:to>
      <xdr:col>3</xdr:col>
      <xdr:colOff>695325</xdr:colOff>
      <xdr:row>18</xdr:row>
      <xdr:rowOff>19050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03E19B3E-E112-4D87-8BFB-3182235A53ED}"/>
            </a:ext>
          </a:extLst>
        </xdr:cNvPr>
        <xdr:cNvSpPr txBox="1"/>
      </xdr:nvSpPr>
      <xdr:spPr>
        <a:xfrm>
          <a:off x="1790700" y="2905125"/>
          <a:ext cx="1076325" cy="54292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300" b="1">
              <a:latin typeface="Leelawadee" panose="020B0502040204020203" pitchFamily="34" charset="-34"/>
              <a:cs typeface="Leelawadee" panose="020B0502040204020203" pitchFamily="34" charset="-34"/>
            </a:rPr>
            <a:t>Flujo</a:t>
          </a:r>
          <a:r>
            <a:rPr lang="es-CO" sz="1300" b="1" baseline="0">
              <a:latin typeface="Leelawadee" panose="020B0502040204020203" pitchFamily="34" charset="-34"/>
              <a:cs typeface="Leelawadee" panose="020B0502040204020203" pitchFamily="34" charset="-34"/>
            </a:rPr>
            <a:t> de Caja</a:t>
          </a:r>
          <a:endParaRPr lang="es-CO" sz="1300" b="1">
            <a:latin typeface="Leelawadee" panose="020B0502040204020203" pitchFamily="34" charset="-34"/>
            <a:cs typeface="Leelawadee" panose="020B0502040204020203" pitchFamily="34" charset="-34"/>
          </a:endParaRPr>
        </a:p>
      </xdr:txBody>
    </xdr:sp>
    <xdr:clientData/>
  </xdr:twoCellAnchor>
  <xdr:twoCellAnchor>
    <xdr:from>
      <xdr:col>5</xdr:col>
      <xdr:colOff>585107</xdr:colOff>
      <xdr:row>0</xdr:row>
      <xdr:rowOff>176894</xdr:rowOff>
    </xdr:from>
    <xdr:to>
      <xdr:col>8</xdr:col>
      <xdr:colOff>394607</xdr:colOff>
      <xdr:row>3</xdr:row>
      <xdr:rowOff>95251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EBBCC4D-AB9C-4A02-9B21-062A49D43B15}"/>
            </a:ext>
          </a:extLst>
        </xdr:cNvPr>
        <xdr:cNvSpPr txBox="1"/>
      </xdr:nvSpPr>
      <xdr:spPr>
        <a:xfrm>
          <a:off x="4191000" y="176894"/>
          <a:ext cx="1973036" cy="489857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1"/>
        </a:fontRef>
      </xdr:style>
      <xdr:txBody>
        <a:bodyPr vertOverflow="clip" horzOverflow="clip" wrap="square" rtlCol="0" anchor="t"/>
        <a:lstStyle/>
        <a:p>
          <a:r>
            <a:rPr lang="es-CO" sz="3200" b="1">
              <a:solidFill>
                <a:srgbClr val="7EB0DE"/>
              </a:solidFill>
              <a:latin typeface="Leelawadee" panose="020B0502040204020203" pitchFamily="34" charset="-34"/>
              <a:cs typeface="Leelawadee" panose="020B0502040204020203" pitchFamily="34" charset="-34"/>
            </a:rPr>
            <a:t>Grupo</a:t>
          </a:r>
          <a:r>
            <a:rPr lang="es-CO" sz="3200" b="1" baseline="0">
              <a:solidFill>
                <a:srgbClr val="7EB0DE"/>
              </a:solidFill>
              <a:latin typeface="Leelawadee" panose="020B0502040204020203" pitchFamily="34" charset="-34"/>
              <a:cs typeface="Leelawadee" panose="020B0502040204020203" pitchFamily="34" charset="-34"/>
            </a:rPr>
            <a:t> H</a:t>
          </a:r>
          <a:endParaRPr lang="es-CO" sz="3200" b="1">
            <a:solidFill>
              <a:srgbClr val="7EB0DE"/>
            </a:solidFill>
            <a:latin typeface="Leelawadee" panose="020B0502040204020203" pitchFamily="34" charset="-34"/>
            <a:cs typeface="Leelawadee" panose="020B0502040204020203" pitchFamily="34" charset="-34"/>
          </a:endParaRPr>
        </a:p>
      </xdr:txBody>
    </xdr: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</cdr:x>
      <cdr:y>0.8496</cdr:y>
    </cdr:from>
    <cdr:to>
      <cdr:x>0.84241</cdr:x>
      <cdr:y>0.9902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02E49832-E4E0-410E-8B2E-08ECEA6A7039}"/>
            </a:ext>
          </a:extLst>
        </cdr:cNvPr>
        <cdr:cNvSpPr txBox="1"/>
      </cdr:nvSpPr>
      <cdr:spPr>
        <a:xfrm xmlns:a="http://schemas.openxmlformats.org/drawingml/2006/main">
          <a:off x="0" y="1942179"/>
          <a:ext cx="2792199" cy="3214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700" i="1">
              <a:latin typeface="Leelawadee" panose="020B0502040204020203" pitchFamily="34" charset="-34"/>
              <a:cs typeface="Leelawadee" panose="020B0502040204020203" pitchFamily="34" charset="-34"/>
            </a:rPr>
            <a:t>Fuente:</a:t>
          </a:r>
          <a:r>
            <a:rPr lang="es-CO" sz="700" i="1" baseline="0">
              <a:latin typeface="Leelawadee" panose="020B0502040204020203" pitchFamily="34" charset="-34"/>
              <a:cs typeface="Leelawadee" panose="020B0502040204020203" pitchFamily="34" charset="-34"/>
            </a:rPr>
            <a:t> Reportes financieros anuales (2013-2019) Smurfit Kappa Cartón de Colombia S.A</a:t>
          </a:r>
        </a:p>
        <a:p xmlns:a="http://schemas.openxmlformats.org/drawingml/2006/main">
          <a:r>
            <a:rPr lang="es-CO" sz="700" i="1" baseline="0">
              <a:latin typeface="Leelawadee" panose="020B0502040204020203" pitchFamily="34" charset="-34"/>
              <a:cs typeface="Leelawadee" panose="020B0502040204020203" pitchFamily="34" charset="-34"/>
            </a:rPr>
            <a:t>Elaborado por: Grupo H </a:t>
          </a:r>
          <a:endParaRPr lang="es-CO" sz="700" i="1">
            <a:latin typeface="Leelawadee" panose="020B0502040204020203" pitchFamily="34" charset="-34"/>
            <a:cs typeface="Leelawadee" panose="020B0502040204020203" pitchFamily="34" charset="-34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0.01853</cdr:x>
      <cdr:y>0.9218</cdr:y>
    </cdr:from>
    <cdr:to>
      <cdr:x>0.85935</cdr:x>
      <cdr:y>1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2E652E9-AB52-4E4F-9FB1-4B600863DFF3}"/>
            </a:ext>
          </a:extLst>
        </cdr:cNvPr>
        <cdr:cNvSpPr txBox="1"/>
      </cdr:nvSpPr>
      <cdr:spPr>
        <a:xfrm xmlns:a="http://schemas.openxmlformats.org/drawingml/2006/main">
          <a:off x="129088" y="4811022"/>
          <a:ext cx="5858528" cy="4081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000" i="1">
              <a:latin typeface="Leelawadee" panose="020B0502040204020203" pitchFamily="34" charset="-34"/>
              <a:cs typeface="Leelawadee" panose="020B0502040204020203" pitchFamily="34" charset="-34"/>
            </a:rPr>
            <a:t>Fuente:</a:t>
          </a:r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 Reportes financieros anuales (2013-2019) Smurfit Kappa Cartón de Colombia S.A</a:t>
          </a:r>
        </a:p>
        <a:p xmlns:a="http://schemas.openxmlformats.org/drawingml/2006/main"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Elaborado por: Grupo H </a:t>
          </a:r>
          <a:endParaRPr lang="es-CO" sz="1000" i="1">
            <a:latin typeface="Leelawadee" panose="020B0502040204020203" pitchFamily="34" charset="-34"/>
            <a:cs typeface="Leelawadee" panose="020B0502040204020203" pitchFamily="34" charset="-34"/>
          </a:endParaRP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0.00706</cdr:x>
      <cdr:y>0.92192</cdr:y>
    </cdr:from>
    <cdr:to>
      <cdr:x>0.85136</cdr:x>
      <cdr:y>1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5B7E94A8-FD77-488C-B622-079BAA095A4D}"/>
            </a:ext>
          </a:extLst>
        </cdr:cNvPr>
        <cdr:cNvSpPr txBox="1"/>
      </cdr:nvSpPr>
      <cdr:spPr>
        <a:xfrm xmlns:a="http://schemas.openxmlformats.org/drawingml/2006/main">
          <a:off x="50800" y="4737250"/>
          <a:ext cx="6077264" cy="4012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000" i="1">
              <a:latin typeface="Leelawadee" panose="020B0502040204020203" pitchFamily="34" charset="-34"/>
              <a:cs typeface="Leelawadee" panose="020B0502040204020203" pitchFamily="34" charset="-34"/>
            </a:rPr>
            <a:t>Fuente:</a:t>
          </a:r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 Reportes financieros anuales (2013-2019) Smurfit Kappa Cartón de Colombia S.A</a:t>
          </a:r>
        </a:p>
        <a:p xmlns:a="http://schemas.openxmlformats.org/drawingml/2006/main"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Elaborado por: Grupo H </a:t>
          </a:r>
          <a:endParaRPr lang="es-CO" sz="1000" i="1">
            <a:latin typeface="Leelawadee" panose="020B0502040204020203" pitchFamily="34" charset="-34"/>
            <a:cs typeface="Leelawadee" panose="020B0502040204020203" pitchFamily="34" charset="-34"/>
          </a:endParaRP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</cdr:x>
      <cdr:y>0.9177</cdr:y>
    </cdr:from>
    <cdr:to>
      <cdr:x>0.84279</cdr:x>
      <cdr:y>0.99627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804A721-96A1-45BA-805C-11807CEE25DA}"/>
            </a:ext>
          </a:extLst>
        </cdr:cNvPr>
        <cdr:cNvSpPr txBox="1"/>
      </cdr:nvSpPr>
      <cdr:spPr>
        <a:xfrm xmlns:a="http://schemas.openxmlformats.org/drawingml/2006/main">
          <a:off x="0" y="4709391"/>
          <a:ext cx="6119127" cy="4032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000" i="1">
              <a:latin typeface="Leelawadee" panose="020B0502040204020203" pitchFamily="34" charset="-34"/>
              <a:cs typeface="Leelawadee" panose="020B0502040204020203" pitchFamily="34" charset="-34"/>
            </a:rPr>
            <a:t>Fuente:</a:t>
          </a:r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 Reportes financieros anuales (2013-2019) Smurfit Kappa Cartón de Colombia S.A</a:t>
          </a:r>
        </a:p>
        <a:p xmlns:a="http://schemas.openxmlformats.org/drawingml/2006/main"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Elaborado por: Grupo H </a:t>
          </a:r>
          <a:endParaRPr lang="es-CO" sz="1000" i="1">
            <a:latin typeface="Leelawadee" panose="020B0502040204020203" pitchFamily="34" charset="-34"/>
            <a:cs typeface="Leelawadee" panose="020B0502040204020203" pitchFamily="34" charset="-34"/>
          </a:endParaRP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0.00517</cdr:x>
      <cdr:y>0.91585</cdr:y>
    </cdr:from>
    <cdr:to>
      <cdr:x>0.848</cdr:x>
      <cdr:y>0.99767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FBFF411-E2E1-42B0-A71C-61B9A7C8F4C9}"/>
            </a:ext>
          </a:extLst>
        </cdr:cNvPr>
        <cdr:cNvSpPr txBox="1"/>
      </cdr:nvSpPr>
      <cdr:spPr>
        <a:xfrm xmlns:a="http://schemas.openxmlformats.org/drawingml/2006/main">
          <a:off x="37193" y="4513943"/>
          <a:ext cx="6067000" cy="4032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000" i="1">
              <a:latin typeface="Leelawadee" panose="020B0502040204020203" pitchFamily="34" charset="-34"/>
              <a:cs typeface="Leelawadee" panose="020B0502040204020203" pitchFamily="34" charset="-34"/>
            </a:rPr>
            <a:t>Fuente:</a:t>
          </a:r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 Reportes financieros anuales (2013-2019) Smurfit Kappa Cartón de Colombia S.A</a:t>
          </a:r>
        </a:p>
        <a:p xmlns:a="http://schemas.openxmlformats.org/drawingml/2006/main"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Elaborado por: Grupo H </a:t>
          </a:r>
          <a:endParaRPr lang="es-CO" sz="1000" i="1">
            <a:latin typeface="Leelawadee" panose="020B0502040204020203" pitchFamily="34" charset="-34"/>
            <a:cs typeface="Leelawadee" panose="020B0502040204020203" pitchFamily="34" charset="-34"/>
          </a:endParaRP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0.00894</cdr:x>
      <cdr:y>0.91903</cdr:y>
    </cdr:from>
    <cdr:to>
      <cdr:x>0.85131</cdr:x>
      <cdr:y>0.99735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D26824-2A34-4CF6-92D0-ACA4E0B1535E}"/>
            </a:ext>
          </a:extLst>
        </cdr:cNvPr>
        <cdr:cNvSpPr txBox="1"/>
      </cdr:nvSpPr>
      <cdr:spPr>
        <a:xfrm xmlns:a="http://schemas.openxmlformats.org/drawingml/2006/main">
          <a:off x="64407" y="4731657"/>
          <a:ext cx="6069293" cy="4032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000" i="1">
              <a:latin typeface="Leelawadee" panose="020B0502040204020203" pitchFamily="34" charset="-34"/>
              <a:cs typeface="Leelawadee" panose="020B0502040204020203" pitchFamily="34" charset="-34"/>
            </a:rPr>
            <a:t>Fuente:</a:t>
          </a:r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 Reportes financieros anuales (2013-2019) Smurfit Kappa Cartón de Colombia S.A</a:t>
          </a:r>
        </a:p>
        <a:p xmlns:a="http://schemas.openxmlformats.org/drawingml/2006/main"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Elaborado por: Grupo H </a:t>
          </a:r>
          <a:endParaRPr lang="es-CO" sz="1000" i="1">
            <a:latin typeface="Leelawadee" panose="020B0502040204020203" pitchFamily="34" charset="-34"/>
            <a:cs typeface="Leelawadee" panose="020B0502040204020203" pitchFamily="34" charset="-34"/>
          </a:endParaRP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0.00891</cdr:x>
      <cdr:y>0.91716</cdr:y>
    </cdr:from>
    <cdr:to>
      <cdr:x>0.84844</cdr:x>
      <cdr:y>0.9986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1D410F6B-753D-4729-A4AE-CBDC47C6BDCC}"/>
            </a:ext>
          </a:extLst>
        </cdr:cNvPr>
        <cdr:cNvSpPr txBox="1"/>
      </cdr:nvSpPr>
      <cdr:spPr>
        <a:xfrm xmlns:a="http://schemas.openxmlformats.org/drawingml/2006/main">
          <a:off x="64407" y="4541157"/>
          <a:ext cx="6067000" cy="4032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000" i="1">
              <a:latin typeface="Leelawadee" panose="020B0502040204020203" pitchFamily="34" charset="-34"/>
              <a:cs typeface="Leelawadee" panose="020B0502040204020203" pitchFamily="34" charset="-34"/>
            </a:rPr>
            <a:t>Fuente:</a:t>
          </a:r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 Reportes financieros anuales (2013-2019) Smurfit Kappa Cartón de Colombia S.A</a:t>
          </a:r>
        </a:p>
        <a:p xmlns:a="http://schemas.openxmlformats.org/drawingml/2006/main"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Elaborado por: Grupo H </a:t>
          </a:r>
          <a:endParaRPr lang="es-CO" sz="1000" i="1">
            <a:latin typeface="Leelawadee" panose="020B0502040204020203" pitchFamily="34" charset="-34"/>
            <a:cs typeface="Leelawadee" panose="020B0502040204020203" pitchFamily="34" charset="-34"/>
          </a:endParaRPr>
        </a:p>
      </cdr:txBody>
    </cdr:sp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0.00894</cdr:x>
      <cdr:y>0.91546</cdr:y>
    </cdr:from>
    <cdr:to>
      <cdr:x>0.85118</cdr:x>
      <cdr:y>0.9937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A0B47D1E-429C-46C4-8AD6-C23D350BFF66}"/>
            </a:ext>
          </a:extLst>
        </cdr:cNvPr>
        <cdr:cNvSpPr txBox="1"/>
      </cdr:nvSpPr>
      <cdr:spPr>
        <a:xfrm xmlns:a="http://schemas.openxmlformats.org/drawingml/2006/main">
          <a:off x="64407" y="4718050"/>
          <a:ext cx="6067000" cy="4032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000" i="1">
              <a:latin typeface="Leelawadee" panose="020B0502040204020203" pitchFamily="34" charset="-34"/>
              <a:cs typeface="Leelawadee" panose="020B0502040204020203" pitchFamily="34" charset="-34"/>
            </a:rPr>
            <a:t>Fuente:</a:t>
          </a:r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 Reportes financieros anuales (2013-2019) Smurfit Kappa Cartón de Colombia S.A</a:t>
          </a:r>
        </a:p>
        <a:p xmlns:a="http://schemas.openxmlformats.org/drawingml/2006/main"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Elaborado por: Grupo H </a:t>
          </a:r>
          <a:endParaRPr lang="es-CO" sz="1000" i="1">
            <a:latin typeface="Leelawadee" panose="020B0502040204020203" pitchFamily="34" charset="-34"/>
            <a:cs typeface="Leelawadee" panose="020B0502040204020203" pitchFamily="34" charset="-34"/>
          </a:endParaRPr>
        </a:p>
      </cdr:txBody>
    </cdr:sp>
  </cdr:relSizeAnchor>
</c:userShapes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</cdr:x>
      <cdr:y>0.91851</cdr:y>
    </cdr:from>
    <cdr:to>
      <cdr:x>0.8342</cdr:x>
      <cdr:y>1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2BBE9C88-FDEB-4899-8F43-33BF15289C6A}"/>
            </a:ext>
          </a:extLst>
        </cdr:cNvPr>
        <cdr:cNvSpPr txBox="1"/>
      </cdr:nvSpPr>
      <cdr:spPr>
        <a:xfrm xmlns:a="http://schemas.openxmlformats.org/drawingml/2006/main">
          <a:off x="0" y="4545248"/>
          <a:ext cx="6067000" cy="4032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000" i="1">
              <a:latin typeface="Leelawadee" panose="020B0502040204020203" pitchFamily="34" charset="-34"/>
              <a:cs typeface="Leelawadee" panose="020B0502040204020203" pitchFamily="34" charset="-34"/>
            </a:rPr>
            <a:t>Fuente:</a:t>
          </a:r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 Reportes financieros anuales (2013-2019) Smurfit Kappa Cartón de Colombia S.A</a:t>
          </a:r>
        </a:p>
        <a:p xmlns:a="http://schemas.openxmlformats.org/drawingml/2006/main"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Elaborado por: Grupo H </a:t>
          </a:r>
          <a:endParaRPr lang="es-CO" sz="1000" i="1">
            <a:latin typeface="Leelawadee" panose="020B0502040204020203" pitchFamily="34" charset="-34"/>
            <a:cs typeface="Leelawadee" panose="020B0502040204020203" pitchFamily="34" charset="-34"/>
          </a:endParaRPr>
        </a:p>
      </cdr:txBody>
    </cdr:sp>
  </cdr:relSizeAnchor>
</c:userShapes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0.00704</cdr:x>
      <cdr:y>0.9195</cdr:y>
    </cdr:from>
    <cdr:to>
      <cdr:x>0.84831</cdr:x>
      <cdr:y>0.99832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5EABF0C-EC19-4AD6-8764-D29874C9A6C9}"/>
            </a:ext>
          </a:extLst>
        </cdr:cNvPr>
        <cdr:cNvSpPr txBox="1"/>
      </cdr:nvSpPr>
      <cdr:spPr>
        <a:xfrm xmlns:a="http://schemas.openxmlformats.org/drawingml/2006/main">
          <a:off x="50800" y="4704443"/>
          <a:ext cx="6067000" cy="4032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000" i="1">
              <a:latin typeface="Leelawadee" panose="020B0502040204020203" pitchFamily="34" charset="-34"/>
              <a:cs typeface="Leelawadee" panose="020B0502040204020203" pitchFamily="34" charset="-34"/>
            </a:rPr>
            <a:t>Fuente:</a:t>
          </a:r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 Reportes financieros anuales (2013-2019) Smurfit Kappa Cartón de Colombia S.A</a:t>
          </a:r>
        </a:p>
        <a:p xmlns:a="http://schemas.openxmlformats.org/drawingml/2006/main"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Elaborado por: Grupo H </a:t>
          </a:r>
          <a:endParaRPr lang="es-CO" sz="1000" i="1">
            <a:latin typeface="Leelawadee" panose="020B0502040204020203" pitchFamily="34" charset="-34"/>
            <a:cs typeface="Leelawadee" panose="020B0502040204020203" pitchFamily="34" charset="-34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304800</xdr:colOff>
      <xdr:row>3</xdr:row>
      <xdr:rowOff>238125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681D8D18-2A9F-420D-803F-3F90905C7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1500" cy="981075"/>
        </a:xfrm>
        <a:prstGeom prst="rect">
          <a:avLst/>
        </a:prstGeom>
      </xdr:spPr>
    </xdr:pic>
    <xdr:clientData/>
  </xdr:twoCellAnchor>
  <xdr:twoCellAnchor>
    <xdr:from>
      <xdr:col>0</xdr:col>
      <xdr:colOff>29766</xdr:colOff>
      <xdr:row>0</xdr:row>
      <xdr:rowOff>23812</xdr:rowOff>
    </xdr:from>
    <xdr:to>
      <xdr:col>1</xdr:col>
      <xdr:colOff>279796</xdr:colOff>
      <xdr:row>1</xdr:row>
      <xdr:rowOff>107156</xdr:rowOff>
    </xdr:to>
    <xdr:sp macro="" textlink="">
      <xdr:nvSpPr>
        <xdr:cNvPr id="12" name="Rectángulo 11">
          <a:hlinkClick xmlns:r="http://schemas.openxmlformats.org/officeDocument/2006/relationships" r:id="rId2" tooltip="Dashboard"/>
          <a:extLst>
            <a:ext uri="{FF2B5EF4-FFF2-40B4-BE49-F238E27FC236}">
              <a16:creationId xmlns:a16="http://schemas.microsoft.com/office/drawing/2014/main" id="{DF0E129B-DC9D-4563-A511-939AAC31D649}"/>
            </a:ext>
          </a:extLst>
        </xdr:cNvPr>
        <xdr:cNvSpPr/>
      </xdr:nvSpPr>
      <xdr:spPr>
        <a:xfrm>
          <a:off x="29766" y="23812"/>
          <a:ext cx="517921" cy="33337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29309</xdr:colOff>
      <xdr:row>1</xdr:row>
      <xdr:rowOff>168520</xdr:rowOff>
    </xdr:from>
    <xdr:to>
      <xdr:col>1</xdr:col>
      <xdr:colOff>102578</xdr:colOff>
      <xdr:row>2</xdr:row>
      <xdr:rowOff>168520</xdr:rowOff>
    </xdr:to>
    <xdr:sp macro="" textlink="">
      <xdr:nvSpPr>
        <xdr:cNvPr id="13" name="Rectángulo 12">
          <a:hlinkClick xmlns:r="http://schemas.openxmlformats.org/officeDocument/2006/relationships" r:id="rId2" tooltip="Dashboard"/>
          <a:extLst>
            <a:ext uri="{FF2B5EF4-FFF2-40B4-BE49-F238E27FC236}">
              <a16:creationId xmlns:a16="http://schemas.microsoft.com/office/drawing/2014/main" id="{9677BB15-8FCF-4AEE-B1EC-C1ECD2ADA110}"/>
            </a:ext>
          </a:extLst>
        </xdr:cNvPr>
        <xdr:cNvSpPr/>
      </xdr:nvSpPr>
      <xdr:spPr>
        <a:xfrm>
          <a:off x="29309" y="417635"/>
          <a:ext cx="337038" cy="249116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234462</xdr:colOff>
      <xdr:row>2</xdr:row>
      <xdr:rowOff>175846</xdr:rowOff>
    </xdr:from>
    <xdr:to>
      <xdr:col>1</xdr:col>
      <xdr:colOff>278423</xdr:colOff>
      <xdr:row>3</xdr:row>
      <xdr:rowOff>175846</xdr:rowOff>
    </xdr:to>
    <xdr:sp macro="" textlink="">
      <xdr:nvSpPr>
        <xdr:cNvPr id="14" name="Rectángulo 13">
          <a:hlinkClick xmlns:r="http://schemas.openxmlformats.org/officeDocument/2006/relationships" r:id="rId3" tooltip="Flujo de Caja"/>
          <a:extLst>
            <a:ext uri="{FF2B5EF4-FFF2-40B4-BE49-F238E27FC236}">
              <a16:creationId xmlns:a16="http://schemas.microsoft.com/office/drawing/2014/main" id="{1AECA576-EAE6-4827-A278-BE855E5F7CB5}"/>
            </a:ext>
          </a:extLst>
        </xdr:cNvPr>
        <xdr:cNvSpPr/>
      </xdr:nvSpPr>
      <xdr:spPr>
        <a:xfrm>
          <a:off x="234462" y="674077"/>
          <a:ext cx="307730" cy="24911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0.00705</cdr:x>
      <cdr:y>0.92021</cdr:y>
    </cdr:from>
    <cdr:to>
      <cdr:x>0.84911</cdr:x>
      <cdr:y>0.99885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8ED4D6F7-E32A-4F98-BEB7-FEE0580171E1}"/>
            </a:ext>
          </a:extLst>
        </cdr:cNvPr>
        <cdr:cNvSpPr txBox="1"/>
      </cdr:nvSpPr>
      <cdr:spPr>
        <a:xfrm xmlns:a="http://schemas.openxmlformats.org/drawingml/2006/main">
          <a:off x="50800" y="4718050"/>
          <a:ext cx="6067000" cy="4032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000" i="1">
              <a:latin typeface="Leelawadee" panose="020B0502040204020203" pitchFamily="34" charset="-34"/>
              <a:cs typeface="Leelawadee" panose="020B0502040204020203" pitchFamily="34" charset="-34"/>
            </a:rPr>
            <a:t>Fuente:</a:t>
          </a:r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 Reportes financieros anuales (2013-2019) Smurfit Kappa Cartón de Colombia S.A</a:t>
          </a:r>
        </a:p>
        <a:p xmlns:a="http://schemas.openxmlformats.org/drawingml/2006/main">
          <a:r>
            <a:rPr lang="es-CO" sz="1000" i="1" baseline="0">
              <a:latin typeface="Leelawadee" panose="020B0502040204020203" pitchFamily="34" charset="-34"/>
              <a:cs typeface="Leelawadee" panose="020B0502040204020203" pitchFamily="34" charset="-34"/>
            </a:rPr>
            <a:t>Elaborado por: Grupo H </a:t>
          </a:r>
          <a:endParaRPr lang="es-CO" sz="1000" i="1">
            <a:latin typeface="Leelawadee" panose="020B0502040204020203" pitchFamily="34" charset="-34"/>
            <a:cs typeface="Leelawadee" panose="020B0502040204020203" pitchFamily="34" charset="-34"/>
          </a:endParaRPr>
        </a:p>
      </cdr:txBody>
    </cdr:sp>
  </cdr:relSizeAnchor>
</c:userShapes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0.00893</cdr:x>
      <cdr:y>0.80992</cdr:y>
    </cdr:from>
    <cdr:to>
      <cdr:x>0.85019</cdr:x>
      <cdr:y>0.97602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9DA1B60E-1D2E-4EE7-92A3-1F784BDE852D}"/>
            </a:ext>
          </a:extLst>
        </cdr:cNvPr>
        <cdr:cNvSpPr txBox="1"/>
      </cdr:nvSpPr>
      <cdr:spPr>
        <a:xfrm xmlns:a="http://schemas.openxmlformats.org/drawingml/2006/main">
          <a:off x="30399" y="1892710"/>
          <a:ext cx="2863808" cy="38816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700" i="1">
              <a:latin typeface="Leelawadee" panose="020B0502040204020203" pitchFamily="34" charset="-34"/>
              <a:cs typeface="Leelawadee" panose="020B0502040204020203" pitchFamily="34" charset="-34"/>
            </a:rPr>
            <a:t>Fuente:</a:t>
          </a:r>
          <a:r>
            <a:rPr lang="es-CO" sz="700" i="1" baseline="0">
              <a:latin typeface="Leelawadee" panose="020B0502040204020203" pitchFamily="34" charset="-34"/>
              <a:cs typeface="Leelawadee" panose="020B0502040204020203" pitchFamily="34" charset="-34"/>
            </a:rPr>
            <a:t> Reportes financieros anuales (2013-2019) Smurfit Kappa Cartón de Colombia S.A</a:t>
          </a:r>
        </a:p>
        <a:p xmlns:a="http://schemas.openxmlformats.org/drawingml/2006/main">
          <a:r>
            <a:rPr lang="es-CO" sz="700" i="1" baseline="0">
              <a:latin typeface="Leelawadee" panose="020B0502040204020203" pitchFamily="34" charset="-34"/>
              <a:cs typeface="Leelawadee" panose="020B0502040204020203" pitchFamily="34" charset="-34"/>
            </a:rPr>
            <a:t>Elaborado por: Grupo H </a:t>
          </a:r>
          <a:endParaRPr lang="es-CO" sz="700" i="1">
            <a:latin typeface="Leelawadee" panose="020B0502040204020203" pitchFamily="34" charset="-34"/>
            <a:cs typeface="Leelawadee" panose="020B0502040204020203" pitchFamily="34" charset="-34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176893</xdr:colOff>
      <xdr:row>4</xdr:row>
      <xdr:rowOff>14968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6840BFFE-B877-420D-A63E-EF56C49EF6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1500" cy="981075"/>
        </a:xfrm>
        <a:prstGeom prst="rect">
          <a:avLst/>
        </a:prstGeom>
      </xdr:spPr>
    </xdr:pic>
    <xdr:clientData/>
  </xdr:twoCellAnchor>
  <xdr:twoCellAnchor>
    <xdr:from>
      <xdr:col>0</xdr:col>
      <xdr:colOff>28575</xdr:colOff>
      <xdr:row>0</xdr:row>
      <xdr:rowOff>19050</xdr:rowOff>
    </xdr:from>
    <xdr:to>
      <xdr:col>0</xdr:col>
      <xdr:colOff>546496</xdr:colOff>
      <xdr:row>1</xdr:row>
      <xdr:rowOff>161925</xdr:rowOff>
    </xdr:to>
    <xdr:sp macro="" textlink="">
      <xdr:nvSpPr>
        <xdr:cNvPr id="10" name="Rectángulo 9">
          <a:hlinkClick xmlns:r="http://schemas.openxmlformats.org/officeDocument/2006/relationships" r:id="rId2" tooltip="Dashboard"/>
          <a:extLst>
            <a:ext uri="{FF2B5EF4-FFF2-40B4-BE49-F238E27FC236}">
              <a16:creationId xmlns:a16="http://schemas.microsoft.com/office/drawing/2014/main" id="{7AC51159-25F0-4B5F-9A27-04B2D4A7E72C}"/>
            </a:ext>
          </a:extLst>
        </xdr:cNvPr>
        <xdr:cNvSpPr/>
      </xdr:nvSpPr>
      <xdr:spPr>
        <a:xfrm>
          <a:off x="28575" y="19050"/>
          <a:ext cx="517921" cy="33337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28575</xdr:colOff>
      <xdr:row>2</xdr:row>
      <xdr:rowOff>28575</xdr:rowOff>
    </xdr:from>
    <xdr:to>
      <xdr:col>0</xdr:col>
      <xdr:colOff>361950</xdr:colOff>
      <xdr:row>3</xdr:row>
      <xdr:rowOff>85725</xdr:rowOff>
    </xdr:to>
    <xdr:sp macro="" textlink="">
      <xdr:nvSpPr>
        <xdr:cNvPr id="11" name="Rectángulo 10">
          <a:hlinkClick xmlns:r="http://schemas.openxmlformats.org/officeDocument/2006/relationships" r:id="rId3" tooltip="Data"/>
          <a:extLst>
            <a:ext uri="{FF2B5EF4-FFF2-40B4-BE49-F238E27FC236}">
              <a16:creationId xmlns:a16="http://schemas.microsoft.com/office/drawing/2014/main" id="{51263720-B6AC-4EED-AF6D-331D92DDD045}"/>
            </a:ext>
          </a:extLst>
        </xdr:cNvPr>
        <xdr:cNvSpPr/>
      </xdr:nvSpPr>
      <xdr:spPr>
        <a:xfrm>
          <a:off x="28575" y="409575"/>
          <a:ext cx="333375" cy="2476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219075</xdr:colOff>
      <xdr:row>3</xdr:row>
      <xdr:rowOff>104775</xdr:rowOff>
    </xdr:from>
    <xdr:to>
      <xdr:col>0</xdr:col>
      <xdr:colOff>552450</xdr:colOff>
      <xdr:row>4</xdr:row>
      <xdr:rowOff>161925</xdr:rowOff>
    </xdr:to>
    <xdr:sp macro="" textlink="">
      <xdr:nvSpPr>
        <xdr:cNvPr id="12" name="Rectángulo 11">
          <a:hlinkClick xmlns:r="http://schemas.openxmlformats.org/officeDocument/2006/relationships" r:id="rId4" tooltip="Resumen Ejecutivo"/>
          <a:extLst>
            <a:ext uri="{FF2B5EF4-FFF2-40B4-BE49-F238E27FC236}">
              <a16:creationId xmlns:a16="http://schemas.microsoft.com/office/drawing/2014/main" id="{B62868C4-7023-482B-A11A-A5CC356DAB56}"/>
            </a:ext>
          </a:extLst>
        </xdr:cNvPr>
        <xdr:cNvSpPr/>
      </xdr:nvSpPr>
      <xdr:spPr>
        <a:xfrm>
          <a:off x="219075" y="676275"/>
          <a:ext cx="333375" cy="2476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359019</xdr:colOff>
      <xdr:row>3</xdr:row>
      <xdr:rowOff>233729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C95A83F0-ADBA-4FF0-9588-E9F9FCECD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1500" cy="981075"/>
        </a:xfrm>
        <a:prstGeom prst="rect">
          <a:avLst/>
        </a:prstGeom>
      </xdr:spPr>
    </xdr:pic>
    <xdr:clientData/>
  </xdr:twoCellAnchor>
  <xdr:twoCellAnchor>
    <xdr:from>
      <xdr:col>0</xdr:col>
      <xdr:colOff>28575</xdr:colOff>
      <xdr:row>0</xdr:row>
      <xdr:rowOff>28575</xdr:rowOff>
    </xdr:from>
    <xdr:to>
      <xdr:col>1</xdr:col>
      <xdr:colOff>336946</xdr:colOff>
      <xdr:row>1</xdr:row>
      <xdr:rowOff>114300</xdr:rowOff>
    </xdr:to>
    <xdr:sp macro="" textlink="">
      <xdr:nvSpPr>
        <xdr:cNvPr id="8" name="Rectángulo 7">
          <a:hlinkClick xmlns:r="http://schemas.openxmlformats.org/officeDocument/2006/relationships" r:id="rId2" tooltip="Dashboard"/>
          <a:extLst>
            <a:ext uri="{FF2B5EF4-FFF2-40B4-BE49-F238E27FC236}">
              <a16:creationId xmlns:a16="http://schemas.microsoft.com/office/drawing/2014/main" id="{2E61115C-3F4D-4B74-A92E-2470556DFD6E}"/>
            </a:ext>
          </a:extLst>
        </xdr:cNvPr>
        <xdr:cNvSpPr/>
      </xdr:nvSpPr>
      <xdr:spPr>
        <a:xfrm>
          <a:off x="28575" y="28575"/>
          <a:ext cx="517921" cy="33337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19050</xdr:colOff>
      <xdr:row>1</xdr:row>
      <xdr:rowOff>161925</xdr:rowOff>
    </xdr:from>
    <xdr:to>
      <xdr:col>1</xdr:col>
      <xdr:colOff>142875</xdr:colOff>
      <xdr:row>2</xdr:row>
      <xdr:rowOff>161925</xdr:rowOff>
    </xdr:to>
    <xdr:sp macro="" textlink="">
      <xdr:nvSpPr>
        <xdr:cNvPr id="9" name="Rectángulo 8">
          <a:hlinkClick xmlns:r="http://schemas.openxmlformats.org/officeDocument/2006/relationships" r:id="rId3" tooltip="Flujo de Caja"/>
          <a:extLst>
            <a:ext uri="{FF2B5EF4-FFF2-40B4-BE49-F238E27FC236}">
              <a16:creationId xmlns:a16="http://schemas.microsoft.com/office/drawing/2014/main" id="{E943261B-B06C-4AB7-8A1C-C7DA361A80E5}"/>
            </a:ext>
          </a:extLst>
        </xdr:cNvPr>
        <xdr:cNvSpPr/>
      </xdr:nvSpPr>
      <xdr:spPr>
        <a:xfrm>
          <a:off x="19050" y="409575"/>
          <a:ext cx="333375" cy="2476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1</xdr:col>
      <xdr:colOff>19050</xdr:colOff>
      <xdr:row>2</xdr:row>
      <xdr:rowOff>180975</xdr:rowOff>
    </xdr:from>
    <xdr:to>
      <xdr:col>1</xdr:col>
      <xdr:colOff>352425</xdr:colOff>
      <xdr:row>3</xdr:row>
      <xdr:rowOff>180975</xdr:rowOff>
    </xdr:to>
    <xdr:sp macro="" textlink="">
      <xdr:nvSpPr>
        <xdr:cNvPr id="10" name="Rectángulo 9">
          <a:hlinkClick xmlns:r="http://schemas.openxmlformats.org/officeDocument/2006/relationships" r:id="rId4" tooltip="EIR"/>
          <a:extLst>
            <a:ext uri="{FF2B5EF4-FFF2-40B4-BE49-F238E27FC236}">
              <a16:creationId xmlns:a16="http://schemas.microsoft.com/office/drawing/2014/main" id="{4D51B0F0-DC15-4AEE-9B3B-914102B916DB}"/>
            </a:ext>
          </a:extLst>
        </xdr:cNvPr>
        <xdr:cNvSpPr/>
      </xdr:nvSpPr>
      <xdr:spPr>
        <a:xfrm>
          <a:off x="228600" y="676275"/>
          <a:ext cx="333375" cy="2476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293077</xdr:colOff>
      <xdr:row>3</xdr:row>
      <xdr:rowOff>241056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D206B5B6-FC68-48DC-A98F-D3AEC2D7CC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1500" cy="981075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9525</xdr:rowOff>
    </xdr:from>
    <xdr:to>
      <xdr:col>1</xdr:col>
      <xdr:colOff>256624</xdr:colOff>
      <xdr:row>1</xdr:row>
      <xdr:rowOff>132434</xdr:rowOff>
    </xdr:to>
    <xdr:sp macro="" textlink="">
      <xdr:nvSpPr>
        <xdr:cNvPr id="9" name="Rectángulo 8">
          <a:hlinkClick xmlns:r="http://schemas.openxmlformats.org/officeDocument/2006/relationships" r:id="rId2" tooltip="Dashboard"/>
          <a:extLst>
            <a:ext uri="{FF2B5EF4-FFF2-40B4-BE49-F238E27FC236}">
              <a16:creationId xmlns:a16="http://schemas.microsoft.com/office/drawing/2014/main" id="{E11B2E44-BDD4-4094-8553-7A66C468F482}"/>
            </a:ext>
          </a:extLst>
        </xdr:cNvPr>
        <xdr:cNvSpPr/>
      </xdr:nvSpPr>
      <xdr:spPr>
        <a:xfrm>
          <a:off x="19050" y="9525"/>
          <a:ext cx="513799" cy="332459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38100</xdr:colOff>
      <xdr:row>1</xdr:row>
      <xdr:rowOff>190500</xdr:rowOff>
    </xdr:from>
    <xdr:to>
      <xdr:col>1</xdr:col>
      <xdr:colOff>95250</xdr:colOff>
      <xdr:row>2</xdr:row>
      <xdr:rowOff>161925</xdr:rowOff>
    </xdr:to>
    <xdr:sp macro="" textlink="">
      <xdr:nvSpPr>
        <xdr:cNvPr id="10" name="Rectángulo 9">
          <a:hlinkClick xmlns:r="http://schemas.openxmlformats.org/officeDocument/2006/relationships" r:id="rId3" tooltip="Resumen Ejecutivo"/>
          <a:extLst>
            <a:ext uri="{FF2B5EF4-FFF2-40B4-BE49-F238E27FC236}">
              <a16:creationId xmlns:a16="http://schemas.microsoft.com/office/drawing/2014/main" id="{2F7870C2-ACDD-4216-9CF0-FC8AB493A91D}"/>
            </a:ext>
          </a:extLst>
        </xdr:cNvPr>
        <xdr:cNvSpPr/>
      </xdr:nvSpPr>
      <xdr:spPr>
        <a:xfrm>
          <a:off x="38100" y="400050"/>
          <a:ext cx="333375" cy="2476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228600</xdr:colOff>
      <xdr:row>2</xdr:row>
      <xdr:rowOff>180975</xdr:rowOff>
    </xdr:from>
    <xdr:to>
      <xdr:col>1</xdr:col>
      <xdr:colOff>285750</xdr:colOff>
      <xdr:row>3</xdr:row>
      <xdr:rowOff>180975</xdr:rowOff>
    </xdr:to>
    <xdr:sp macro="" textlink="">
      <xdr:nvSpPr>
        <xdr:cNvPr id="11" name="Rectángulo 10">
          <a:hlinkClick xmlns:r="http://schemas.openxmlformats.org/officeDocument/2006/relationships" r:id="rId4" tooltip="ESF"/>
          <a:extLst>
            <a:ext uri="{FF2B5EF4-FFF2-40B4-BE49-F238E27FC236}">
              <a16:creationId xmlns:a16="http://schemas.microsoft.com/office/drawing/2014/main" id="{88DD1642-285A-4E12-8A7E-DC6A5DA8392E}"/>
            </a:ext>
          </a:extLst>
        </xdr:cNvPr>
        <xdr:cNvSpPr/>
      </xdr:nvSpPr>
      <xdr:spPr>
        <a:xfrm>
          <a:off x="228600" y="666750"/>
          <a:ext cx="333375" cy="2476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298174</xdr:colOff>
      <xdr:row>4</xdr:row>
      <xdr:rowOff>3727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4BCDB05-9109-45A8-A0A1-A08F58099E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1500" cy="981075"/>
        </a:xfrm>
        <a:prstGeom prst="rect">
          <a:avLst/>
        </a:prstGeom>
      </xdr:spPr>
    </xdr:pic>
    <xdr:clientData/>
  </xdr:twoCellAnchor>
  <xdr:twoCellAnchor>
    <xdr:from>
      <xdr:col>0</xdr:col>
      <xdr:colOff>24848</xdr:colOff>
      <xdr:row>0</xdr:row>
      <xdr:rowOff>24848</xdr:rowOff>
    </xdr:from>
    <xdr:to>
      <xdr:col>1</xdr:col>
      <xdr:colOff>265321</xdr:colOff>
      <xdr:row>1</xdr:row>
      <xdr:rowOff>150242</xdr:rowOff>
    </xdr:to>
    <xdr:sp macro="" textlink="">
      <xdr:nvSpPr>
        <xdr:cNvPr id="10" name="Rectángulo 9">
          <a:hlinkClick xmlns:r="http://schemas.openxmlformats.org/officeDocument/2006/relationships" r:id="rId2" tooltip="Dashboard"/>
          <a:extLst>
            <a:ext uri="{FF2B5EF4-FFF2-40B4-BE49-F238E27FC236}">
              <a16:creationId xmlns:a16="http://schemas.microsoft.com/office/drawing/2014/main" id="{1B839873-5469-4AEE-9EA9-B65304B9741C}"/>
            </a:ext>
          </a:extLst>
        </xdr:cNvPr>
        <xdr:cNvSpPr/>
      </xdr:nvSpPr>
      <xdr:spPr>
        <a:xfrm>
          <a:off x="24848" y="24848"/>
          <a:ext cx="513799" cy="332459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19050</xdr:colOff>
      <xdr:row>1</xdr:row>
      <xdr:rowOff>200025</xdr:rowOff>
    </xdr:from>
    <xdr:to>
      <xdr:col>1</xdr:col>
      <xdr:colOff>76200</xdr:colOff>
      <xdr:row>2</xdr:row>
      <xdr:rowOff>172693</xdr:rowOff>
    </xdr:to>
    <xdr:sp macro="" textlink="">
      <xdr:nvSpPr>
        <xdr:cNvPr id="11" name="Rectángulo 10">
          <a:extLst>
            <a:ext uri="{FF2B5EF4-FFF2-40B4-BE49-F238E27FC236}">
              <a16:creationId xmlns:a16="http://schemas.microsoft.com/office/drawing/2014/main" id="{ADE40A9C-DB48-45A6-953E-548AFD71769F}"/>
            </a:ext>
          </a:extLst>
        </xdr:cNvPr>
        <xdr:cNvSpPr/>
      </xdr:nvSpPr>
      <xdr:spPr>
        <a:xfrm>
          <a:off x="19050" y="409575"/>
          <a:ext cx="333375" cy="24889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19050</xdr:colOff>
      <xdr:row>1</xdr:row>
      <xdr:rowOff>200025</xdr:rowOff>
    </xdr:from>
    <xdr:to>
      <xdr:col>1</xdr:col>
      <xdr:colOff>76200</xdr:colOff>
      <xdr:row>2</xdr:row>
      <xdr:rowOff>171450</xdr:rowOff>
    </xdr:to>
    <xdr:sp macro="" textlink="">
      <xdr:nvSpPr>
        <xdr:cNvPr id="12" name="Rectángulo 11">
          <a:extLst>
            <a:ext uri="{FF2B5EF4-FFF2-40B4-BE49-F238E27FC236}">
              <a16:creationId xmlns:a16="http://schemas.microsoft.com/office/drawing/2014/main" id="{650E7116-B729-4DD9-BD59-1C48D9A5B25D}"/>
            </a:ext>
          </a:extLst>
        </xdr:cNvPr>
        <xdr:cNvSpPr/>
      </xdr:nvSpPr>
      <xdr:spPr>
        <a:xfrm>
          <a:off x="19050" y="409575"/>
          <a:ext cx="333375" cy="2476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238125</xdr:colOff>
      <xdr:row>2</xdr:row>
      <xdr:rowOff>190500</xdr:rowOff>
    </xdr:from>
    <xdr:to>
      <xdr:col>1</xdr:col>
      <xdr:colOff>295275</xdr:colOff>
      <xdr:row>3</xdr:row>
      <xdr:rowOff>190500</xdr:rowOff>
    </xdr:to>
    <xdr:sp macro="" textlink="">
      <xdr:nvSpPr>
        <xdr:cNvPr id="13" name="Rectángulo 12">
          <a:hlinkClick xmlns:r="http://schemas.openxmlformats.org/officeDocument/2006/relationships" r:id="rId3" tooltip="EIR Comparativo"/>
          <a:extLst>
            <a:ext uri="{FF2B5EF4-FFF2-40B4-BE49-F238E27FC236}">
              <a16:creationId xmlns:a16="http://schemas.microsoft.com/office/drawing/2014/main" id="{C87FD256-AF3A-46A2-9ABF-9E0A09D26C22}"/>
            </a:ext>
          </a:extLst>
        </xdr:cNvPr>
        <xdr:cNvSpPr/>
      </xdr:nvSpPr>
      <xdr:spPr>
        <a:xfrm>
          <a:off x="238125" y="676275"/>
          <a:ext cx="333375" cy="2476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51288</xdr:colOff>
      <xdr:row>1</xdr:row>
      <xdr:rowOff>197827</xdr:rowOff>
    </xdr:from>
    <xdr:to>
      <xdr:col>1</xdr:col>
      <xdr:colOff>65942</xdr:colOff>
      <xdr:row>2</xdr:row>
      <xdr:rowOff>175846</xdr:rowOff>
    </xdr:to>
    <xdr:sp macro="" textlink="">
      <xdr:nvSpPr>
        <xdr:cNvPr id="2" name="Rectángulo 1">
          <a:hlinkClick xmlns:r="http://schemas.openxmlformats.org/officeDocument/2006/relationships" r:id="rId4" tooltip="EIR"/>
          <a:extLst>
            <a:ext uri="{FF2B5EF4-FFF2-40B4-BE49-F238E27FC236}">
              <a16:creationId xmlns:a16="http://schemas.microsoft.com/office/drawing/2014/main" id="{86153DDA-64A7-4175-AFAE-FFDB2F78DEF7}"/>
            </a:ext>
          </a:extLst>
        </xdr:cNvPr>
        <xdr:cNvSpPr/>
      </xdr:nvSpPr>
      <xdr:spPr>
        <a:xfrm>
          <a:off x="51288" y="410308"/>
          <a:ext cx="293077" cy="24178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295275</xdr:colOff>
      <xdr:row>4</xdr:row>
      <xdr:rowOff>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D1A46ECA-327D-4EE8-A9AE-8E17DAE806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1500" cy="981075"/>
        </a:xfrm>
        <a:prstGeom prst="rect">
          <a:avLst/>
        </a:prstGeom>
      </xdr:spPr>
    </xdr:pic>
    <xdr:clientData/>
  </xdr:twoCellAnchor>
  <xdr:twoCellAnchor>
    <xdr:from>
      <xdr:col>0</xdr:col>
      <xdr:colOff>28575</xdr:colOff>
      <xdr:row>0</xdr:row>
      <xdr:rowOff>28575</xdr:rowOff>
    </xdr:from>
    <xdr:to>
      <xdr:col>1</xdr:col>
      <xdr:colOff>266149</xdr:colOff>
      <xdr:row>1</xdr:row>
      <xdr:rowOff>151484</xdr:rowOff>
    </xdr:to>
    <xdr:sp macro="" textlink="">
      <xdr:nvSpPr>
        <xdr:cNvPr id="8" name="Rectángulo 7">
          <a:hlinkClick xmlns:r="http://schemas.openxmlformats.org/officeDocument/2006/relationships" r:id="rId2" tooltip="Dashboard"/>
          <a:extLst>
            <a:ext uri="{FF2B5EF4-FFF2-40B4-BE49-F238E27FC236}">
              <a16:creationId xmlns:a16="http://schemas.microsoft.com/office/drawing/2014/main" id="{7C849803-2A33-459D-A9A7-4EA83DFE7A8C}"/>
            </a:ext>
          </a:extLst>
        </xdr:cNvPr>
        <xdr:cNvSpPr/>
      </xdr:nvSpPr>
      <xdr:spPr>
        <a:xfrm>
          <a:off x="28575" y="28575"/>
          <a:ext cx="513799" cy="332459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209550</xdr:colOff>
      <xdr:row>2</xdr:row>
      <xdr:rowOff>190500</xdr:rowOff>
    </xdr:from>
    <xdr:to>
      <xdr:col>1</xdr:col>
      <xdr:colOff>266700</xdr:colOff>
      <xdr:row>3</xdr:row>
      <xdr:rowOff>190500</xdr:rowOff>
    </xdr:to>
    <xdr:sp macro="" textlink="">
      <xdr:nvSpPr>
        <xdr:cNvPr id="9" name="Rectángulo 8">
          <a:hlinkClick xmlns:r="http://schemas.openxmlformats.org/officeDocument/2006/relationships" r:id="rId3" tooltip="ESF Comparativo "/>
          <a:extLst>
            <a:ext uri="{FF2B5EF4-FFF2-40B4-BE49-F238E27FC236}">
              <a16:creationId xmlns:a16="http://schemas.microsoft.com/office/drawing/2014/main" id="{E87ED2EB-D860-4054-B43E-F08262F35A33}"/>
            </a:ext>
          </a:extLst>
        </xdr:cNvPr>
        <xdr:cNvSpPr/>
      </xdr:nvSpPr>
      <xdr:spPr>
        <a:xfrm>
          <a:off x="209550" y="676275"/>
          <a:ext cx="333375" cy="2476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28575</xdr:colOff>
      <xdr:row>1</xdr:row>
      <xdr:rowOff>200025</xdr:rowOff>
    </xdr:from>
    <xdr:to>
      <xdr:col>1</xdr:col>
      <xdr:colOff>85725</xdr:colOff>
      <xdr:row>2</xdr:row>
      <xdr:rowOff>171450</xdr:rowOff>
    </xdr:to>
    <xdr:sp macro="" textlink="">
      <xdr:nvSpPr>
        <xdr:cNvPr id="10" name="Rectángulo 9">
          <a:hlinkClick xmlns:r="http://schemas.openxmlformats.org/officeDocument/2006/relationships" r:id="rId4" tooltip="ESF"/>
          <a:extLst>
            <a:ext uri="{FF2B5EF4-FFF2-40B4-BE49-F238E27FC236}">
              <a16:creationId xmlns:a16="http://schemas.microsoft.com/office/drawing/2014/main" id="{9619459C-DC0A-45DA-B9CE-E8E13F5B6037}"/>
            </a:ext>
          </a:extLst>
        </xdr:cNvPr>
        <xdr:cNvSpPr/>
      </xdr:nvSpPr>
      <xdr:spPr>
        <a:xfrm>
          <a:off x="28575" y="409575"/>
          <a:ext cx="333375" cy="2476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298174</xdr:colOff>
      <xdr:row>4</xdr:row>
      <xdr:rowOff>3727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9DE7AF81-F4EB-44ED-AEF7-F04801E489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1500" cy="981075"/>
        </a:xfrm>
        <a:prstGeom prst="rect">
          <a:avLst/>
        </a:prstGeom>
      </xdr:spPr>
    </xdr:pic>
    <xdr:clientData/>
  </xdr:twoCellAnchor>
  <xdr:twoCellAnchor>
    <xdr:from>
      <xdr:col>0</xdr:col>
      <xdr:colOff>24847</xdr:colOff>
      <xdr:row>0</xdr:row>
      <xdr:rowOff>24848</xdr:rowOff>
    </xdr:from>
    <xdr:to>
      <xdr:col>1</xdr:col>
      <xdr:colOff>265320</xdr:colOff>
      <xdr:row>1</xdr:row>
      <xdr:rowOff>150242</xdr:rowOff>
    </xdr:to>
    <xdr:sp macro="" textlink="">
      <xdr:nvSpPr>
        <xdr:cNvPr id="8" name="Rectángulo 7">
          <a:hlinkClick xmlns:r="http://schemas.openxmlformats.org/officeDocument/2006/relationships" r:id="rId2" tooltip="Dashboard"/>
          <a:extLst>
            <a:ext uri="{FF2B5EF4-FFF2-40B4-BE49-F238E27FC236}">
              <a16:creationId xmlns:a16="http://schemas.microsoft.com/office/drawing/2014/main" id="{F09C94EA-50B3-4F8B-B30F-1F171541671B}"/>
            </a:ext>
          </a:extLst>
        </xdr:cNvPr>
        <xdr:cNvSpPr/>
      </xdr:nvSpPr>
      <xdr:spPr>
        <a:xfrm>
          <a:off x="24847" y="24848"/>
          <a:ext cx="513799" cy="332459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33131</xdr:colOff>
      <xdr:row>1</xdr:row>
      <xdr:rowOff>198782</xdr:rowOff>
    </xdr:from>
    <xdr:to>
      <xdr:col>1</xdr:col>
      <xdr:colOff>93180</xdr:colOff>
      <xdr:row>2</xdr:row>
      <xdr:rowOff>173106</xdr:rowOff>
    </xdr:to>
    <xdr:sp macro="" textlink="">
      <xdr:nvSpPr>
        <xdr:cNvPr id="9" name="Rectángulo 8">
          <a:hlinkClick xmlns:r="http://schemas.openxmlformats.org/officeDocument/2006/relationships" r:id="rId3" tooltip="EIR Comparativo"/>
          <a:extLst>
            <a:ext uri="{FF2B5EF4-FFF2-40B4-BE49-F238E27FC236}">
              <a16:creationId xmlns:a16="http://schemas.microsoft.com/office/drawing/2014/main" id="{DA796D54-4411-4553-891A-550033805CD9}"/>
            </a:ext>
          </a:extLst>
        </xdr:cNvPr>
        <xdr:cNvSpPr/>
      </xdr:nvSpPr>
      <xdr:spPr>
        <a:xfrm>
          <a:off x="33131" y="405847"/>
          <a:ext cx="333375" cy="2476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226944</xdr:colOff>
      <xdr:row>2</xdr:row>
      <xdr:rowOff>202095</xdr:rowOff>
    </xdr:from>
    <xdr:to>
      <xdr:col>1</xdr:col>
      <xdr:colOff>286993</xdr:colOff>
      <xdr:row>3</xdr:row>
      <xdr:rowOff>201266</xdr:rowOff>
    </xdr:to>
    <xdr:sp macro="" textlink="">
      <xdr:nvSpPr>
        <xdr:cNvPr id="10" name="Rectángulo 9">
          <a:hlinkClick xmlns:r="http://schemas.openxmlformats.org/officeDocument/2006/relationships" r:id="rId4" tooltip="Graficas"/>
          <a:extLst>
            <a:ext uri="{FF2B5EF4-FFF2-40B4-BE49-F238E27FC236}">
              <a16:creationId xmlns:a16="http://schemas.microsoft.com/office/drawing/2014/main" id="{25D93E4C-AD1D-4242-8481-817B4088E41C}"/>
            </a:ext>
          </a:extLst>
        </xdr:cNvPr>
        <xdr:cNvSpPr/>
      </xdr:nvSpPr>
      <xdr:spPr>
        <a:xfrm>
          <a:off x="226944" y="682486"/>
          <a:ext cx="333375" cy="2476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613033</xdr:colOff>
      <xdr:row>5</xdr:row>
      <xdr:rowOff>28575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30A250B-BDA3-44E3-9F58-D1A2950ED4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13033" cy="981075"/>
        </a:xfrm>
        <a:prstGeom prst="rect">
          <a:avLst/>
        </a:prstGeom>
      </xdr:spPr>
    </xdr:pic>
    <xdr:clientData/>
  </xdr:twoCellAnchor>
  <xdr:twoCellAnchor>
    <xdr:from>
      <xdr:col>0</xdr:col>
      <xdr:colOff>66675</xdr:colOff>
      <xdr:row>0</xdr:row>
      <xdr:rowOff>47625</xdr:rowOff>
    </xdr:from>
    <xdr:to>
      <xdr:col>0</xdr:col>
      <xdr:colOff>580474</xdr:colOff>
      <xdr:row>1</xdr:row>
      <xdr:rowOff>189584</xdr:rowOff>
    </xdr:to>
    <xdr:sp macro="" textlink="">
      <xdr:nvSpPr>
        <xdr:cNvPr id="9" name="Rectángulo 8">
          <a:hlinkClick xmlns:r="http://schemas.openxmlformats.org/officeDocument/2006/relationships" r:id="rId2" tooltip="Dashboard"/>
          <a:extLst>
            <a:ext uri="{FF2B5EF4-FFF2-40B4-BE49-F238E27FC236}">
              <a16:creationId xmlns:a16="http://schemas.microsoft.com/office/drawing/2014/main" id="{9E4F0614-37E2-4F85-AB98-CF024BB85DC1}"/>
            </a:ext>
          </a:extLst>
        </xdr:cNvPr>
        <xdr:cNvSpPr/>
      </xdr:nvSpPr>
      <xdr:spPr>
        <a:xfrm>
          <a:off x="66675" y="47625"/>
          <a:ext cx="513799" cy="332459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47625</xdr:colOff>
      <xdr:row>2</xdr:row>
      <xdr:rowOff>28575</xdr:rowOff>
    </xdr:from>
    <xdr:to>
      <xdr:col>0</xdr:col>
      <xdr:colOff>381000</xdr:colOff>
      <xdr:row>3</xdr:row>
      <xdr:rowOff>85725</xdr:rowOff>
    </xdr:to>
    <xdr:sp macro="" textlink="">
      <xdr:nvSpPr>
        <xdr:cNvPr id="10" name="Rectángulo 9">
          <a:hlinkClick xmlns:r="http://schemas.openxmlformats.org/officeDocument/2006/relationships" r:id="rId3" tooltip="ESF Comparativa "/>
          <a:extLst>
            <a:ext uri="{FF2B5EF4-FFF2-40B4-BE49-F238E27FC236}">
              <a16:creationId xmlns:a16="http://schemas.microsoft.com/office/drawing/2014/main" id="{722FF2F7-A0FB-4D7F-9C09-8B79B45F514B}"/>
            </a:ext>
          </a:extLst>
        </xdr:cNvPr>
        <xdr:cNvSpPr/>
      </xdr:nvSpPr>
      <xdr:spPr>
        <a:xfrm>
          <a:off x="47625" y="409575"/>
          <a:ext cx="333375" cy="2476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13609</xdr:colOff>
      <xdr:row>5</xdr:row>
      <xdr:rowOff>22412</xdr:rowOff>
    </xdr:from>
    <xdr:to>
      <xdr:col>6</xdr:col>
      <xdr:colOff>414618</xdr:colOff>
      <xdr:row>17</xdr:row>
      <xdr:rowOff>22411</xdr:rowOff>
    </xdr:to>
    <xdr:graphicFrame macro="">
      <xdr:nvGraphicFramePr>
        <xdr:cNvPr id="5" name="Gráfico 4" descr="&#10;">
          <a:extLst>
            <a:ext uri="{FF2B5EF4-FFF2-40B4-BE49-F238E27FC236}">
              <a16:creationId xmlns:a16="http://schemas.microsoft.com/office/drawing/2014/main" id="{C0A61966-6611-441F-B43B-7ABE36131B41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722534</xdr:colOff>
      <xdr:row>1</xdr:row>
      <xdr:rowOff>182518</xdr:rowOff>
    </xdr:from>
    <xdr:to>
      <xdr:col>23</xdr:col>
      <xdr:colOff>17317</xdr:colOff>
      <xdr:row>28</xdr:row>
      <xdr:rowOff>169471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281B650-9620-46B6-8147-3AD2927599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24</xdr:col>
      <xdr:colOff>2693</xdr:colOff>
      <xdr:row>2</xdr:row>
      <xdr:rowOff>5033</xdr:rowOff>
    </xdr:from>
    <xdr:to>
      <xdr:col>33</xdr:col>
      <xdr:colOff>710046</xdr:colOff>
      <xdr:row>29</xdr:row>
      <xdr:rowOff>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87575AEE-D379-4084-9343-D5B3958668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26656</xdr:colOff>
      <xdr:row>32</xdr:row>
      <xdr:rowOff>7626</xdr:rowOff>
    </xdr:from>
    <xdr:to>
      <xdr:col>12</xdr:col>
      <xdr:colOff>13606</xdr:colOff>
      <xdr:row>58</xdr:row>
      <xdr:rowOff>186384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86A9B23-F1A7-475D-A7C7-B351E85F7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24</xdr:col>
      <xdr:colOff>13466</xdr:colOff>
      <xdr:row>62</xdr:row>
      <xdr:rowOff>509</xdr:rowOff>
    </xdr:from>
    <xdr:to>
      <xdr:col>34</xdr:col>
      <xdr:colOff>0</xdr:colOff>
      <xdr:row>87</xdr:row>
      <xdr:rowOff>166686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E7EAE9E3-3564-40B9-90E3-DAB8DC2D8E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23</xdr:col>
      <xdr:colOff>727943</xdr:colOff>
      <xdr:row>31</xdr:row>
      <xdr:rowOff>174252</xdr:rowOff>
    </xdr:from>
    <xdr:to>
      <xdr:col>34</xdr:col>
      <xdr:colOff>0</xdr:colOff>
      <xdr:row>58</xdr:row>
      <xdr:rowOff>179294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A0E4695F-1705-4D1E-95F1-567A14578F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719872</xdr:colOff>
      <xdr:row>61</xdr:row>
      <xdr:rowOff>178569</xdr:rowOff>
    </xdr:from>
    <xdr:to>
      <xdr:col>12</xdr:col>
      <xdr:colOff>13607</xdr:colOff>
      <xdr:row>87</xdr:row>
      <xdr:rowOff>176892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6FD430A6-69C2-4534-AACF-A1C86B2262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2944</xdr:colOff>
      <xdr:row>31</xdr:row>
      <xdr:rowOff>187853</xdr:rowOff>
    </xdr:from>
    <xdr:to>
      <xdr:col>22</xdr:col>
      <xdr:colOff>718457</xdr:colOff>
      <xdr:row>59</xdr:row>
      <xdr:rowOff>7604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13F8A8A2-BE1E-4673-B7D0-BCBE8B68D7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683945</xdr:colOff>
      <xdr:row>62</xdr:row>
      <xdr:rowOff>4522</xdr:rowOff>
    </xdr:from>
    <xdr:to>
      <xdr:col>23</xdr:col>
      <xdr:colOff>23811</xdr:colOff>
      <xdr:row>88</xdr:row>
      <xdr:rowOff>0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FA87E8F1-CF1D-4492-89B9-2156E3F989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</xdr:col>
      <xdr:colOff>0</xdr:colOff>
      <xdr:row>91</xdr:row>
      <xdr:rowOff>13607</xdr:rowOff>
    </xdr:from>
    <xdr:to>
      <xdr:col>11</xdr:col>
      <xdr:colOff>721178</xdr:colOff>
      <xdr:row>117</xdr:row>
      <xdr:rowOff>176893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0218D0B5-D338-4859-95A2-A9A772F650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13</xdr:col>
      <xdr:colOff>20410</xdr:colOff>
      <xdr:row>91</xdr:row>
      <xdr:rowOff>2721</xdr:rowOff>
    </xdr:from>
    <xdr:to>
      <xdr:col>23</xdr:col>
      <xdr:colOff>13607</xdr:colOff>
      <xdr:row>117</xdr:row>
      <xdr:rowOff>176893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F3DEBC5E-A4F8-4BF3-A6D9-2910B0D768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24</xdr:col>
      <xdr:colOff>13606</xdr:colOff>
      <xdr:row>91</xdr:row>
      <xdr:rowOff>16328</xdr:rowOff>
    </xdr:from>
    <xdr:to>
      <xdr:col>28</xdr:col>
      <xdr:colOff>605118</xdr:colOff>
      <xdr:row>103</xdr:row>
      <xdr:rowOff>145676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67FB5BB5-2FA2-480A-999A-24C922B7BF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pmej/Dropbox/03%20-%20Externado/01%20-%20Pregrado/04%20-%20AF/01-Profesor/00-Master/03-Formatos/Modelo%20AF%20-%20Matriz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shboard"/>
      <sheetName val="Data"/>
      <sheetName val="Resumen Ejecutivo"/>
      <sheetName val="Flujo de Caja"/>
      <sheetName val="EIR"/>
      <sheetName val="ESF"/>
      <sheetName val="EIR Comparativo"/>
      <sheetName val="ESF Comparativo"/>
      <sheetName val="Gráficas"/>
      <sheetName val="Matriz"/>
      <sheetName val="Q&amp;A"/>
    </sheetNames>
    <sheetDataSet>
      <sheetData sheetId="0"/>
      <sheetData sheetId="1">
        <row r="4">
          <cell r="C4" t="str">
            <v>en COP millones a 31 de diciembre</v>
          </cell>
          <cell r="K4" t="str">
            <v>en USD millones a 31 de diciembre</v>
          </cell>
        </row>
        <row r="5">
          <cell r="L5">
            <v>1768.23</v>
          </cell>
          <cell r="M5">
            <v>1926.83</v>
          </cell>
          <cell r="N5">
            <v>2392.46</v>
          </cell>
          <cell r="O5">
            <v>3149.47</v>
          </cell>
          <cell r="P5">
            <v>3000.71</v>
          </cell>
          <cell r="Q5">
            <v>2984</v>
          </cell>
          <cell r="R5">
            <v>3249.75</v>
          </cell>
        </row>
        <row r="72">
          <cell r="C72" t="str">
            <v>en COP a 31 de diciembre</v>
          </cell>
          <cell r="D72">
            <v>36</v>
          </cell>
        </row>
        <row r="73">
          <cell r="C73" t="str">
            <v>en COP miles a 31 de diciembre</v>
          </cell>
        </row>
        <row r="74">
          <cell r="C74" t="str">
            <v>en COP millones a 31 de diciembre</v>
          </cell>
        </row>
        <row r="75">
          <cell r="C75" t="str">
            <v>en USD a 31 de diciembre</v>
          </cell>
        </row>
        <row r="76">
          <cell r="C76" t="str">
            <v>en USD miles a 31 de diciembre</v>
          </cell>
        </row>
        <row r="77">
          <cell r="C77" t="str">
            <v>en USD millones a 31 de diciembre</v>
          </cell>
        </row>
      </sheetData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B9661"/>
    <pageSetUpPr fitToPage="1"/>
  </sheetPr>
  <dimension ref="B2:MFM2020"/>
  <sheetViews>
    <sheetView showGridLines="0" tabSelected="1" zoomScale="85" zoomScaleNormal="85" workbookViewId="0"/>
  </sheetViews>
  <sheetFormatPr baseColWidth="10" defaultColWidth="10.85546875" defaultRowHeight="15" x14ac:dyDescent="0.25"/>
  <sheetData>
    <row r="2" spans="2:2" x14ac:dyDescent="0.25">
      <c r="B2" s="1"/>
    </row>
    <row r="3" spans="2:2" x14ac:dyDescent="0.25">
      <c r="B3" s="1"/>
    </row>
    <row r="4" spans="2:2" x14ac:dyDescent="0.25">
      <c r="B4" s="1"/>
    </row>
    <row r="5" spans="2:2" x14ac:dyDescent="0.25">
      <c r="B5" s="1"/>
    </row>
    <row r="6" spans="2:2" x14ac:dyDescent="0.25">
      <c r="B6" s="1"/>
    </row>
    <row r="2020" spans="8957:8957" x14ac:dyDescent="0.25">
      <c r="MFM2020" s="201" t="s">
        <v>133</v>
      </c>
    </row>
  </sheetData>
  <pageMargins left="0.7" right="0.7" top="0.75" bottom="0.75" header="0.3" footer="0.3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-0.499984740745262"/>
    <pageSetUpPr fitToPage="1"/>
  </sheetPr>
  <dimension ref="A1:MFM2020"/>
  <sheetViews>
    <sheetView showGridLines="0" zoomScale="55" zoomScaleNormal="55" workbookViewId="0">
      <pane xSplit="3" ySplit="4" topLeftCell="N10" activePane="bottomRight" state="frozen"/>
      <selection activeCell="E30" sqref="E30"/>
      <selection pane="topRight" activeCell="E30" sqref="E30"/>
      <selection pane="bottomLeft" activeCell="E30" sqref="E30"/>
      <selection pane="bottomRight" activeCell="D2" sqref="D2"/>
    </sheetView>
  </sheetViews>
  <sheetFormatPr baseColWidth="10" defaultColWidth="19" defaultRowHeight="15.75" x14ac:dyDescent="0.25"/>
  <cols>
    <col min="1" max="1" width="4" style="4" customWidth="1"/>
    <col min="2" max="2" width="5.140625" style="5" customWidth="1"/>
    <col min="3" max="3" width="65.5703125" style="4" bestFit="1" customWidth="1"/>
    <col min="4" max="8" width="19" style="6" customWidth="1"/>
    <col min="9" max="9" width="19" style="4" customWidth="1"/>
    <col min="10" max="10" width="19" style="4"/>
    <col min="11" max="11" width="38.5703125" style="4" bestFit="1" customWidth="1"/>
    <col min="12" max="13" width="25.42578125" style="4" customWidth="1"/>
    <col min="14" max="17" width="25.42578125" style="4" bestFit="1" customWidth="1"/>
    <col min="18" max="18" width="25.42578125" style="4" customWidth="1"/>
    <col min="19" max="16384" width="19" style="4"/>
  </cols>
  <sheetData>
    <row r="1" spans="1:18" s="2" customFormat="1" ht="20.100000000000001" customHeight="1" thickBot="1" x14ac:dyDescent="0.3">
      <c r="A1" s="2" t="s">
        <v>143</v>
      </c>
      <c r="B1" s="3"/>
      <c r="C1" s="216"/>
      <c r="D1" s="217" t="s">
        <v>0</v>
      </c>
      <c r="E1" s="218" t="s">
        <v>0</v>
      </c>
      <c r="F1" s="218" t="s">
        <v>0</v>
      </c>
      <c r="G1" s="218" t="s">
        <v>0</v>
      </c>
      <c r="H1" s="218" t="s">
        <v>0</v>
      </c>
      <c r="I1" s="218" t="s">
        <v>0</v>
      </c>
      <c r="J1" s="219" t="s">
        <v>0</v>
      </c>
      <c r="K1" s="216"/>
      <c r="L1" s="220"/>
      <c r="M1" s="220"/>
      <c r="N1" s="220"/>
      <c r="O1" s="220"/>
      <c r="P1" s="220"/>
      <c r="Q1" s="220"/>
      <c r="R1" s="220"/>
    </row>
    <row r="2" spans="1:18" ht="20.100000000000001" customHeight="1" thickBot="1" x14ac:dyDescent="0.35">
      <c r="C2" s="468" t="s">
        <v>1</v>
      </c>
      <c r="D2" s="461" t="str">
        <f>IF(D26=D62,"OK",D26-D62)</f>
        <v>OK</v>
      </c>
      <c r="E2" s="462" t="str">
        <f t="shared" ref="E2:J2" si="0">IF(E26=E62,"OK",E26-E62)</f>
        <v>OK</v>
      </c>
      <c r="F2" s="462" t="str">
        <f t="shared" si="0"/>
        <v>OK</v>
      </c>
      <c r="G2" s="462" t="str">
        <f t="shared" si="0"/>
        <v>OK</v>
      </c>
      <c r="H2" s="462" t="str">
        <f t="shared" si="0"/>
        <v>OK</v>
      </c>
      <c r="I2" s="462" t="str">
        <f t="shared" si="0"/>
        <v>OK</v>
      </c>
      <c r="J2" s="463" t="str">
        <f t="shared" si="0"/>
        <v>OK</v>
      </c>
      <c r="K2" s="221"/>
      <c r="L2" s="222"/>
      <c r="M2" s="222"/>
      <c r="N2" s="222"/>
      <c r="O2" s="222"/>
      <c r="P2" s="222"/>
      <c r="Q2" s="222"/>
      <c r="R2" s="222"/>
    </row>
    <row r="3" spans="1:18" ht="20.100000000000001" customHeight="1" thickBot="1" x14ac:dyDescent="0.35">
      <c r="C3" s="450" t="s">
        <v>134</v>
      </c>
      <c r="D3" s="464" t="str">
        <f t="shared" ref="D3:J3" si="1">IF(D42=D65,"OK",D42-D65)</f>
        <v>OK</v>
      </c>
      <c r="E3" s="465" t="str">
        <f t="shared" si="1"/>
        <v>OK</v>
      </c>
      <c r="F3" s="465" t="str">
        <f t="shared" si="1"/>
        <v>OK</v>
      </c>
      <c r="G3" s="465" t="str">
        <f t="shared" si="1"/>
        <v>OK</v>
      </c>
      <c r="H3" s="465" t="str">
        <f t="shared" si="1"/>
        <v>OK</v>
      </c>
      <c r="I3" s="465" t="str">
        <f t="shared" si="1"/>
        <v>OK</v>
      </c>
      <c r="J3" s="466" t="str">
        <f t="shared" si="1"/>
        <v>OK</v>
      </c>
      <c r="K3" s="459" t="s">
        <v>2</v>
      </c>
      <c r="L3" s="222"/>
      <c r="M3" s="222"/>
      <c r="N3" s="222"/>
      <c r="O3" s="222"/>
      <c r="P3" s="222"/>
      <c r="Q3" s="222"/>
      <c r="R3" s="222"/>
    </row>
    <row r="4" spans="1:18" ht="20.100000000000001" customHeight="1" thickBot="1" x14ac:dyDescent="0.3">
      <c r="C4" s="469" t="s">
        <v>3</v>
      </c>
      <c r="D4" s="444">
        <v>2013</v>
      </c>
      <c r="E4" s="223">
        <v>2014</v>
      </c>
      <c r="F4" s="223">
        <v>2015</v>
      </c>
      <c r="G4" s="223">
        <v>2016</v>
      </c>
      <c r="H4" s="224">
        <v>2017</v>
      </c>
      <c r="I4" s="223">
        <v>2018</v>
      </c>
      <c r="J4" s="225">
        <v>2019</v>
      </c>
      <c r="K4" s="443" t="s">
        <v>66</v>
      </c>
      <c r="L4" s="226">
        <v>2013</v>
      </c>
      <c r="M4" s="227">
        <v>2014</v>
      </c>
      <c r="N4" s="227">
        <v>2015</v>
      </c>
      <c r="O4" s="227">
        <v>2016</v>
      </c>
      <c r="P4" s="228">
        <v>2017</v>
      </c>
      <c r="Q4" s="227">
        <v>2018</v>
      </c>
      <c r="R4" s="229">
        <v>2019</v>
      </c>
    </row>
    <row r="5" spans="1:18" ht="19.5" thickBot="1" x14ac:dyDescent="0.3">
      <c r="C5" s="221"/>
      <c r="D5" s="230"/>
      <c r="E5" s="230"/>
      <c r="F5" s="230"/>
      <c r="G5" s="230"/>
      <c r="H5" s="230"/>
      <c r="I5" s="221"/>
      <c r="J5" s="221"/>
      <c r="K5" s="231" t="s">
        <v>5</v>
      </c>
      <c r="L5" s="446">
        <v>1926.83</v>
      </c>
      <c r="M5" s="447">
        <v>2392.46</v>
      </c>
      <c r="N5" s="447">
        <v>3149.47</v>
      </c>
      <c r="O5" s="447">
        <v>3000.71</v>
      </c>
      <c r="P5" s="448">
        <v>2984</v>
      </c>
      <c r="Q5" s="447">
        <v>3249.75</v>
      </c>
      <c r="R5" s="449">
        <v>3277.14</v>
      </c>
    </row>
    <row r="6" spans="1:18" ht="19.5" thickBot="1" x14ac:dyDescent="0.35">
      <c r="A6" s="6"/>
      <c r="B6" s="6"/>
      <c r="C6" s="232" t="s">
        <v>6</v>
      </c>
      <c r="D6" s="230"/>
      <c r="E6" s="230"/>
      <c r="F6" s="230"/>
      <c r="G6" s="230"/>
      <c r="H6" s="230"/>
      <c r="I6" s="221"/>
      <c r="J6" s="221"/>
      <c r="K6" s="221"/>
      <c r="L6" s="221"/>
      <c r="M6" s="221"/>
      <c r="N6" s="221"/>
      <c r="O6" s="221"/>
      <c r="P6" s="221"/>
      <c r="Q6" s="221"/>
      <c r="R6" s="221"/>
    </row>
    <row r="7" spans="1:18" ht="5.0999999999999996" customHeight="1" thickBot="1" x14ac:dyDescent="0.3">
      <c r="C7" s="221"/>
      <c r="D7" s="230"/>
      <c r="E7" s="230"/>
      <c r="F7" s="230"/>
      <c r="G7" s="230"/>
      <c r="H7" s="230"/>
      <c r="I7" s="221"/>
      <c r="J7" s="221"/>
      <c r="K7" s="221"/>
      <c r="L7" s="230"/>
      <c r="M7" s="230"/>
      <c r="N7" s="230"/>
      <c r="O7" s="230"/>
      <c r="P7" s="230"/>
      <c r="Q7" s="230"/>
      <c r="R7" s="230"/>
    </row>
    <row r="8" spans="1:18" x14ac:dyDescent="0.25">
      <c r="B8" s="5">
        <v>1</v>
      </c>
      <c r="C8" s="233" t="s">
        <v>7</v>
      </c>
      <c r="D8" s="406">
        <v>753319</v>
      </c>
      <c r="E8" s="407">
        <v>796775</v>
      </c>
      <c r="F8" s="407">
        <v>860065</v>
      </c>
      <c r="G8" s="407">
        <v>900501</v>
      </c>
      <c r="H8" s="408">
        <v>1014799</v>
      </c>
      <c r="I8" s="407">
        <v>1081650</v>
      </c>
      <c r="J8" s="409">
        <v>1191643</v>
      </c>
      <c r="K8" s="221"/>
      <c r="L8" s="234">
        <f>IF(AND($C$4="en COP a 31 de diciembre",$K$4="en COP a 31 de diciembre"),D8,IF(AND($C$4="en COP a 31 de diciembre",$K$4="en COP miles a 31 de diciembre"),D8/1000,IF(AND($C$4="en COP a 31 de diciembre",$K$4="en COP millones a 31 de diciembre"),D8/1000000,(IF(AND($C$4="en COP a 31 de diciembre",$K$4="en USD a 31 de diciembre"),D8/L$5,IF(AND($C$4="en COP a 31 de diciembre",$K$4="en USD miles a 31 de diciembre"),(D8/L$5)/1000,IF(AND($C$4="en COP a 31 de diciembre",$K$4="en USD millones a 31 de diciembre"),(D8/L$5)/1000000,IF(AND($C$4="en COP miles a 31 de diciembre",$K$4="en COP a 31 de diciembre"),D8/1000,IF(AND($C$4="en COP miles a 31 de diciembre",$K$4="en COP miles a 31 de diciembre"),D8,IF(AND($C$4="en COP miles a 31 de diciembre",$K$4="en COP millones a 31 de diciembre"),D8/1000,IF(AND($C$4="en COP miles a 31 de diciembre",$K$4="en USD a 31 de diciembre"),(D8*1000)/L$5,IF(AND($C$4="en COP miles a 31 de diciembre",$K$4="en USD miles a 31 de diciembre"),D8/L$5,IF(AND($C$4="en COP miles a 31 de diciembre",$K$4="en USD millones a 31 de diciembre"),((D8*1000)/L$5)/1000000,IF(AND($C$4="en COP millones a 31 de diciembre",$K$4="en COP a 31 de diciembre"),D8*1000000,IF(AND($C$4="en COP millones a 31 de diciembre",$K$4="en COP miles a 31 de diciembre"),D8*1000,IF(AND($C$4="en COP millones a 31 de diciembre",$K$4="en COP millones a 31 de diciembre"),D8,IF(AND($C$4="en COP millones a 31 de diciembre",$K$4="en USD a 31 de diciembre"),(D8*1000000)/L$5,IF(AND($C$4="en COP millones a 31 de diciembre",$K$4="en USD miles a 31 de diciembre"),(D8*1000)/L$5,IF(AND($C$4="en COP millones a 31 de diciembre",$K$4="en USD millones a 31 de diciembre"),D8/L$5,IF(AND($C$4="en USD a 31 de diciembre",$K$4="en COP a 31 de diciembre"),D8*L$5,IF(AND($C$4="en USD a 31 de diciembre",$K$4="en COP miles a 31 de diciembre"),(D8*L$5)/1000,IF(AND($C$4="en USD a 31 de diciembre",$K$4="en COP millones a 31 de diciembre"),(D8*L$5)/1000000,IF(AND($C$4="en USD a 31 de diciembre",$K$4="en USD a 31 de diciembre"),D8,IF(AND($C$4="en USD a 31 de diciembre",$K$4="en USD miles a 31 de diciembre"),D8/1000,IF(AND($C$4="en USD a 31 de diciembre",$K$4="en USD millones a 31 de diciembre"),D8/1000000,IF(AND($C$4="en USD miles a 31 de diciembre",$K$4="en COP a 31 de diciembre"),(D8*L$5)*1000,IF(AND($C$4="en USD miles a 31 de diciembre",$K$4="en COP miles a 31 de diciembre"),D8*L$5,IF(AND($C$4="en USD miles a 31 de diciembre",$K$4="en COP millones a 31 de diciembre"),(D8*L$5)/1000,IF(AND($C$4="en USD miles a 31 de diciembre",$K$4="en USD a 31 de diciembre"),D8*1000,IF(AND($C$4="en USD miles a 31 de diciembre",$K$4="en USD miles a 31 de diciembre"),D8,IF(AND($C$4="en USD miles a 31 de diciembre",$K$4="en USD millones a 31 de diciembre"),D8/1000,IF(AND($C$4="en USD millones a 31 de diciembre",$K$4="en USD a 31 de diciembre"),D8*1000000,IF(AND($C$4="en USD millones a 31 de diciembre",$K$4="en USD miles a 31 de diciembre"),D8*1000,IF(AND($C$4="en USD millones a 31 de diciembre",$K$4="en USD millones a 31 de diciembre"),D8,IF(AND($C$4="en USD millones a 31 de diciembre",$K$4="en COP a 31 de diciembre"),(D8*L$5)*1000000,IF(AND($C$4="en USD millones a 31 de diciembre",$K$4="en COP miles a 31 de diciembre"),(D8*L$5)*1000,IF(AND($C$4="en USD millones a 31 de diciembre",$K$4="en COP millones a 31 de diciembre"),D8*L$5)))))))))))))))))))))))))))))))))))))</f>
        <v>390962.87684954045</v>
      </c>
      <c r="M8" s="235">
        <f t="shared" ref="M8:M26" si="2">IF(AND($C$4="en COP a 31 de diciembre",$K$4="en COP a 31 de diciembre"),E8,IF(AND($C$4="en COP a 31 de diciembre",$K$4="en COP miles a 31 de diciembre"),E8/1000,IF(AND($C$4="en COP a 31 de diciembre",$K$4="en COP millones a 31 de diciembre"),E8/1000000,(IF(AND($C$4="en COP a 31 de diciembre",$K$4="en USD a 31 de diciembre"),E8/M$5,IF(AND($C$4="en COP a 31 de diciembre",$K$4="en USD miles a 31 de diciembre"),(E8/M$5)/1000,IF(AND($C$4="en COP a 31 de diciembre",$K$4="en USD millones a 31 de diciembre"),(E8/M$5)/1000000,IF(AND($C$4="en COP miles a 31 de diciembre",$K$4="en COP a 31 de diciembre"),E8/1000,IF(AND($C$4="en COP miles a 31 de diciembre",$K$4="en COP miles a 31 de diciembre"),E8,IF(AND($C$4="en COP miles a 31 de diciembre",$K$4="en COP millones a 31 de diciembre"),E8/1000,IF(AND($C$4="en COP miles a 31 de diciembre",$K$4="en USD a 31 de diciembre"),(E8*1000)/M$5,IF(AND($C$4="en COP miles a 31 de diciembre",$K$4="en USD miles a 31 de diciembre"),E8/M$5,IF(AND($C$4="en COP miles a 31 de diciembre",$K$4="en USD millones a 31 de diciembre"),((E8*1000)/M$5)/1000000,IF(AND($C$4="en COP millones a 31 de diciembre",$K$4="en COP a 31 de diciembre"),E8*1000000,IF(AND($C$4="en COP millones a 31 de diciembre",$K$4="en COP miles a 31 de diciembre"),E8*1000,IF(AND($C$4="en COP millones a 31 de diciembre",$K$4="en COP millones a 31 de diciembre"),E8,IF(AND($C$4="en COP millones a 31 de diciembre",$K$4="en USD a 31 de diciembre"),(E8*1000000)/M$5,IF(AND($C$4="en COP millones a 31 de diciembre",$K$4="en USD miles a 31 de diciembre"),(E8*1000)/M$5,IF(AND($C$4="en COP millones a 31 de diciembre",$K$4="en USD millones a 31 de diciembre"),E8/M$5,IF(AND($C$4="en USD a 31 de diciembre",$K$4="en COP a 31 de diciembre"),E8*M$5,IF(AND($C$4="en USD a 31 de diciembre",$K$4="en COP miles a 31 de diciembre"),(E8*M$5)/1000,IF(AND($C$4="en USD a 31 de diciembre",$K$4="en COP millones a 31 de diciembre"),(E8*M$5)/1000000,IF(AND($C$4="en USD a 31 de diciembre",$K$4="en USD a 31 de diciembre"),E8,IF(AND($C$4="en USD a 31 de diciembre",$K$4="en USD miles a 31 de diciembre"),E8/1000,IF(AND($C$4="en USD a 31 de diciembre",$K$4="en USD millones a 31 de diciembre"),E8/1000000,IF(AND($C$4="en USD miles a 31 de diciembre",$K$4="en COP a 31 de diciembre"),(E8*M$5)*1000,IF(AND($C$4="en USD miles a 31 de diciembre",$K$4="en COP miles a 31 de diciembre"),E8*M$5,IF(AND($C$4="en USD miles a 31 de diciembre",$K$4="en COP millones a 31 de diciembre"),(E8*M$5)/1000,IF(AND($C$4="en USD miles a 31 de diciembre",$K$4="en USD a 31 de diciembre"),E8*1000,IF(AND($C$4="en USD miles a 31 de diciembre",$K$4="en USD miles a 31 de diciembre"),E8,IF(AND($C$4="en USD miles a 31 de diciembre",$K$4="en USD millones a 31 de diciembre"),E8/1000,IF(AND($C$4="en USD millones a 31 de diciembre",$K$4="en USD a 31 de diciembre"),E8*1000000,IF(AND($C$4="en USD millones a 31 de diciembre",$K$4="en USD miles a 31 de diciembre"),E8*1000,IF(AND($C$4="en USD millones a 31 de diciembre",$K$4="en USD millones a 31 de diciembre"),E8,IF(AND($C$4="en USD millones a 31 de diciembre",$K$4="en COP a 31 de diciembre"),(E8*M$5)*1000000,IF(AND($C$4="en USD millones a 31 de diciembre",$K$4="en COP miles a 31 de diciembre"),(E8*M$5)*1000,IF(AND($C$4="en USD millones a 31 de diciembre",$K$4="en COP millones a 31 de diciembre"),E8*M$5)))))))))))))))))))))))))))))))))))))</f>
        <v>333035.87102814676</v>
      </c>
      <c r="N8" s="235">
        <f t="shared" ref="N8:N26" si="3">IF(AND($C$4="en COP a 31 de diciembre",$K$4="en COP a 31 de diciembre"),F8,IF(AND($C$4="en COP a 31 de diciembre",$K$4="en COP miles a 31 de diciembre"),F8/1000,IF(AND($C$4="en COP a 31 de diciembre",$K$4="en COP millones a 31 de diciembre"),F8/1000000,(IF(AND($C$4="en COP a 31 de diciembre",$K$4="en USD a 31 de diciembre"),F8/N$5,IF(AND($C$4="en COP a 31 de diciembre",$K$4="en USD miles a 31 de diciembre"),(F8/N$5)/1000,IF(AND($C$4="en COP a 31 de diciembre",$K$4="en USD millones a 31 de diciembre"),(F8/N$5)/1000000,IF(AND($C$4="en COP miles a 31 de diciembre",$K$4="en COP a 31 de diciembre"),F8/1000,IF(AND($C$4="en COP miles a 31 de diciembre",$K$4="en COP miles a 31 de diciembre"),F8,IF(AND($C$4="en COP miles a 31 de diciembre",$K$4="en COP millones a 31 de diciembre"),F8/1000,IF(AND($C$4="en COP miles a 31 de diciembre",$K$4="en USD a 31 de diciembre"),(F8*1000)/N$5,IF(AND($C$4="en COP miles a 31 de diciembre",$K$4="en USD miles a 31 de diciembre"),F8/N$5,IF(AND($C$4="en COP miles a 31 de diciembre",$K$4="en USD millones a 31 de diciembre"),((F8*1000)/N$5)/1000000,IF(AND($C$4="en COP millones a 31 de diciembre",$K$4="en COP a 31 de diciembre"),F8*1000000,IF(AND($C$4="en COP millones a 31 de diciembre",$K$4="en COP miles a 31 de diciembre"),F8*1000,IF(AND($C$4="en COP millones a 31 de diciembre",$K$4="en COP millones a 31 de diciembre"),F8,IF(AND($C$4="en COP millones a 31 de diciembre",$K$4="en USD a 31 de diciembre"),(F8*1000000)/N$5,IF(AND($C$4="en COP millones a 31 de diciembre",$K$4="en USD miles a 31 de diciembre"),(F8*1000)/N$5,IF(AND($C$4="en COP millones a 31 de diciembre",$K$4="en USD millones a 31 de diciembre"),F8/N$5,IF(AND($C$4="en USD a 31 de diciembre",$K$4="en COP a 31 de diciembre"),F8*N$5,IF(AND($C$4="en USD a 31 de diciembre",$K$4="en COP miles a 31 de diciembre"),(F8*N$5)/1000,IF(AND($C$4="en USD a 31 de diciembre",$K$4="en COP millones a 31 de diciembre"),(F8*N$5)/1000000,IF(AND($C$4="en USD a 31 de diciembre",$K$4="en USD a 31 de diciembre"),F8,IF(AND($C$4="en USD a 31 de diciembre",$K$4="en USD miles a 31 de diciembre"),F8/1000,IF(AND($C$4="en USD a 31 de diciembre",$K$4="en USD millones a 31 de diciembre"),F8/1000000,IF(AND($C$4="en USD miles a 31 de diciembre",$K$4="en COP a 31 de diciembre"),(F8*N$5)*1000,IF(AND($C$4="en USD miles a 31 de diciembre",$K$4="en COP miles a 31 de diciembre"),F8*N$5,IF(AND($C$4="en USD miles a 31 de diciembre",$K$4="en COP millones a 31 de diciembre"),(F8*N$5)/1000,IF(AND($C$4="en USD miles a 31 de diciembre",$K$4="en USD a 31 de diciembre"),F8*1000,IF(AND($C$4="en USD miles a 31 de diciembre",$K$4="en USD miles a 31 de diciembre"),F8,IF(AND($C$4="en USD miles a 31 de diciembre",$K$4="en USD millones a 31 de diciembre"),F8/1000,IF(AND($C$4="en USD millones a 31 de diciembre",$K$4="en USD a 31 de diciembre"),F8*1000000,IF(AND($C$4="en USD millones a 31 de diciembre",$K$4="en USD miles a 31 de diciembre"),F8*1000,IF(AND($C$4="en USD millones a 31 de diciembre",$K$4="en USD millones a 31 de diciembre"),F8,IF(AND($C$4="en USD millones a 31 de diciembre",$K$4="en COP a 31 de diciembre"),(F8*N$5)*1000000,IF(AND($C$4="en USD millones a 31 de diciembre",$K$4="en COP miles a 31 de diciembre"),(F8*N$5)*1000,IF(AND($C$4="en USD millones a 31 de diciembre",$K$4="en COP millones a 31 de diciembre"),F8*N$5)))))))))))))))))))))))))))))))))))))</f>
        <v>273082.45514324633</v>
      </c>
      <c r="O8" s="235">
        <f t="shared" ref="O8:O26" si="4">IF(AND($C$4="en COP a 31 de diciembre",$K$4="en COP a 31 de diciembre"),G8,IF(AND($C$4="en COP a 31 de diciembre",$K$4="en COP miles a 31 de diciembre"),G8/1000,IF(AND($C$4="en COP a 31 de diciembre",$K$4="en COP millones a 31 de diciembre"),G8/1000000,(IF(AND($C$4="en COP a 31 de diciembre",$K$4="en USD a 31 de diciembre"),G8/O$5,IF(AND($C$4="en COP a 31 de diciembre",$K$4="en USD miles a 31 de diciembre"),(G8/O$5)/1000,IF(AND($C$4="en COP a 31 de diciembre",$K$4="en USD millones a 31 de diciembre"),(G8/O$5)/1000000,IF(AND($C$4="en COP miles a 31 de diciembre",$K$4="en COP a 31 de diciembre"),G8/1000,IF(AND($C$4="en COP miles a 31 de diciembre",$K$4="en COP miles a 31 de diciembre"),G8,IF(AND($C$4="en COP miles a 31 de diciembre",$K$4="en COP millones a 31 de diciembre"),G8/1000,IF(AND($C$4="en COP miles a 31 de diciembre",$K$4="en USD a 31 de diciembre"),(G8*1000)/O$5,IF(AND($C$4="en COP miles a 31 de diciembre",$K$4="en USD miles a 31 de diciembre"),G8/O$5,IF(AND($C$4="en COP miles a 31 de diciembre",$K$4="en USD millones a 31 de diciembre"),((G8*1000)/O$5)/1000000,IF(AND($C$4="en COP millones a 31 de diciembre",$K$4="en COP a 31 de diciembre"),G8*1000000,IF(AND($C$4="en COP millones a 31 de diciembre",$K$4="en COP miles a 31 de diciembre"),G8*1000,IF(AND($C$4="en COP millones a 31 de diciembre",$K$4="en COP millones a 31 de diciembre"),G8,IF(AND($C$4="en COP millones a 31 de diciembre",$K$4="en USD a 31 de diciembre"),(G8*1000000)/O$5,IF(AND($C$4="en COP millones a 31 de diciembre",$K$4="en USD miles a 31 de diciembre"),(G8*1000)/O$5,IF(AND($C$4="en COP millones a 31 de diciembre",$K$4="en USD millones a 31 de diciembre"),G8/O$5,IF(AND($C$4="en USD a 31 de diciembre",$K$4="en COP a 31 de diciembre"),G8*O$5,IF(AND($C$4="en USD a 31 de diciembre",$K$4="en COP miles a 31 de diciembre"),(G8*O$5)/1000,IF(AND($C$4="en USD a 31 de diciembre",$K$4="en COP millones a 31 de diciembre"),(G8*O$5)/1000000,IF(AND($C$4="en USD a 31 de diciembre",$K$4="en USD a 31 de diciembre"),G8,IF(AND($C$4="en USD a 31 de diciembre",$K$4="en USD miles a 31 de diciembre"),G8/1000,IF(AND($C$4="en USD a 31 de diciembre",$K$4="en USD millones a 31 de diciembre"),G8/1000000,IF(AND($C$4="en USD miles a 31 de diciembre",$K$4="en COP a 31 de diciembre"),(G8*O$5)*1000,IF(AND($C$4="en USD miles a 31 de diciembre",$K$4="en COP miles a 31 de diciembre"),G8*O$5,IF(AND($C$4="en USD miles a 31 de diciembre",$K$4="en COP millones a 31 de diciembre"),(G8*O$5)/1000,IF(AND($C$4="en USD miles a 31 de diciembre",$K$4="en USD a 31 de diciembre"),G8*1000,IF(AND($C$4="en USD miles a 31 de diciembre",$K$4="en USD miles a 31 de diciembre"),G8,IF(AND($C$4="en USD miles a 31 de diciembre",$K$4="en USD millones a 31 de diciembre"),G8/1000,IF(AND($C$4="en USD millones a 31 de diciembre",$K$4="en USD a 31 de diciembre"),G8*1000000,IF(AND($C$4="en USD millones a 31 de diciembre",$K$4="en USD miles a 31 de diciembre"),G8*1000,IF(AND($C$4="en USD millones a 31 de diciembre",$K$4="en USD millones a 31 de diciembre"),G8,IF(AND($C$4="en USD millones a 31 de diciembre",$K$4="en COP a 31 de diciembre"),(G8*O$5)*1000000,IF(AND($C$4="en USD millones a 31 de diciembre",$K$4="en COP miles a 31 de diciembre"),(G8*O$5)*1000,IF(AND($C$4="en USD millones a 31 de diciembre",$K$4="en COP millones a 31 de diciembre"),G8*O$5)))))))))))))))))))))))))))))))))))))</f>
        <v>300095.97728537582</v>
      </c>
      <c r="P8" s="236">
        <f t="shared" ref="P8:P26" si="5">IF(AND($C$4="en COP a 31 de diciembre",$K$4="en COP a 31 de diciembre"),H8,IF(AND($C$4="en COP a 31 de diciembre",$K$4="en COP miles a 31 de diciembre"),H8/1000,IF(AND($C$4="en COP a 31 de diciembre",$K$4="en COP millones a 31 de diciembre"),H8/1000000,(IF(AND($C$4="en COP a 31 de diciembre",$K$4="en USD a 31 de diciembre"),H8/P$5,IF(AND($C$4="en COP a 31 de diciembre",$K$4="en USD miles a 31 de diciembre"),(H8/P$5)/1000,IF(AND($C$4="en COP a 31 de diciembre",$K$4="en USD millones a 31 de diciembre"),(H8/P$5)/1000000,IF(AND($C$4="en COP miles a 31 de diciembre",$K$4="en COP a 31 de diciembre"),H8/1000,IF(AND($C$4="en COP miles a 31 de diciembre",$K$4="en COP miles a 31 de diciembre"),H8,IF(AND($C$4="en COP miles a 31 de diciembre",$K$4="en COP millones a 31 de diciembre"),H8/1000,IF(AND($C$4="en COP miles a 31 de diciembre",$K$4="en USD a 31 de diciembre"),(H8*1000)/P$5,IF(AND($C$4="en COP miles a 31 de diciembre",$K$4="en USD miles a 31 de diciembre"),H8/P$5,IF(AND($C$4="en COP miles a 31 de diciembre",$K$4="en USD millones a 31 de diciembre"),((H8*1000)/P$5)/1000000,IF(AND($C$4="en COP millones a 31 de diciembre",$K$4="en COP a 31 de diciembre"),H8*1000000,IF(AND($C$4="en COP millones a 31 de diciembre",$K$4="en COP miles a 31 de diciembre"),H8*1000,IF(AND($C$4="en COP millones a 31 de diciembre",$K$4="en COP millones a 31 de diciembre"),H8,IF(AND($C$4="en COP millones a 31 de diciembre",$K$4="en USD a 31 de diciembre"),(H8*1000000)/P$5,IF(AND($C$4="en COP millones a 31 de diciembre",$K$4="en USD miles a 31 de diciembre"),(H8*1000)/P$5,IF(AND($C$4="en COP millones a 31 de diciembre",$K$4="en USD millones a 31 de diciembre"),H8/P$5,IF(AND($C$4="en USD a 31 de diciembre",$K$4="en COP a 31 de diciembre"),H8*P$5,IF(AND($C$4="en USD a 31 de diciembre",$K$4="en COP miles a 31 de diciembre"),(H8*P$5)/1000,IF(AND($C$4="en USD a 31 de diciembre",$K$4="en COP millones a 31 de diciembre"),(H8*P$5)/1000000,IF(AND($C$4="en USD a 31 de diciembre",$K$4="en USD a 31 de diciembre"),H8,IF(AND($C$4="en USD a 31 de diciembre",$K$4="en USD miles a 31 de diciembre"),H8/1000,IF(AND($C$4="en USD a 31 de diciembre",$K$4="en USD millones a 31 de diciembre"),H8/1000000,IF(AND($C$4="en USD miles a 31 de diciembre",$K$4="en COP a 31 de diciembre"),(H8*P$5)*1000,IF(AND($C$4="en USD miles a 31 de diciembre",$K$4="en COP miles a 31 de diciembre"),H8*P$5,IF(AND($C$4="en USD miles a 31 de diciembre",$K$4="en COP millones a 31 de diciembre"),(H8*P$5)/1000,IF(AND($C$4="en USD miles a 31 de diciembre",$K$4="en USD a 31 de diciembre"),H8*1000,IF(AND($C$4="en USD miles a 31 de diciembre",$K$4="en USD miles a 31 de diciembre"),H8,IF(AND($C$4="en USD miles a 31 de diciembre",$K$4="en USD millones a 31 de diciembre"),H8/1000,IF(AND($C$4="en USD millones a 31 de diciembre",$K$4="en USD a 31 de diciembre"),H8*1000000,IF(AND($C$4="en USD millones a 31 de diciembre",$K$4="en USD miles a 31 de diciembre"),H8*1000,IF(AND($C$4="en USD millones a 31 de diciembre",$K$4="en USD millones a 31 de diciembre"),H8,IF(AND($C$4="en USD millones a 31 de diciembre",$K$4="en COP a 31 de diciembre"),(H8*P$5)*1000000,IF(AND($C$4="en USD millones a 31 de diciembre",$K$4="en COP miles a 31 de diciembre"),(H8*P$5)*1000,IF(AND($C$4="en USD millones a 31 de diciembre",$K$4="en COP millones a 31 de diciembre"),H8*P$5)))))))))))))))))))))))))))))))))))))</f>
        <v>340080.09383378015</v>
      </c>
      <c r="Q8" s="235">
        <f t="shared" ref="Q8:Q26" si="6">IF(AND($C$4="en COP a 31 de diciembre",$K$4="en COP a 31 de diciembre"),I8,IF(AND($C$4="en COP a 31 de diciembre",$K$4="en COP miles a 31 de diciembre"),I8/1000,IF(AND($C$4="en COP a 31 de diciembre",$K$4="en COP millones a 31 de diciembre"),I8/1000000,(IF(AND($C$4="en COP a 31 de diciembre",$K$4="en USD a 31 de diciembre"),I8/Q$5,IF(AND($C$4="en COP a 31 de diciembre",$K$4="en USD miles a 31 de diciembre"),(I8/Q$5)/1000,IF(AND($C$4="en COP a 31 de diciembre",$K$4="en USD millones a 31 de diciembre"),(I8/Q$5)/1000000,IF(AND($C$4="en COP miles a 31 de diciembre",$K$4="en COP a 31 de diciembre"),I8/1000,IF(AND($C$4="en COP miles a 31 de diciembre",$K$4="en COP miles a 31 de diciembre"),I8,IF(AND($C$4="en COP miles a 31 de diciembre",$K$4="en COP millones a 31 de diciembre"),I8/1000,IF(AND($C$4="en COP miles a 31 de diciembre",$K$4="en USD a 31 de diciembre"),(I8*1000)/Q$5,IF(AND($C$4="en COP miles a 31 de diciembre",$K$4="en USD miles a 31 de diciembre"),I8/Q$5,IF(AND($C$4="en COP miles a 31 de diciembre",$K$4="en USD millones a 31 de diciembre"),((I8*1000)/Q$5)/1000000,IF(AND($C$4="en COP millones a 31 de diciembre",$K$4="en COP a 31 de diciembre"),I8*1000000,IF(AND($C$4="en COP millones a 31 de diciembre",$K$4="en COP miles a 31 de diciembre"),I8*1000,IF(AND($C$4="en COP millones a 31 de diciembre",$K$4="en COP millones a 31 de diciembre"),I8,IF(AND($C$4="en COP millones a 31 de diciembre",$K$4="en USD a 31 de diciembre"),(I8*1000000)/Q$5,IF(AND($C$4="en COP millones a 31 de diciembre",$K$4="en USD miles a 31 de diciembre"),(I8*1000)/Q$5,IF(AND($C$4="en COP millones a 31 de diciembre",$K$4="en USD millones a 31 de diciembre"),I8/Q$5,IF(AND($C$4="en USD a 31 de diciembre",$K$4="en COP a 31 de diciembre"),I8*Q$5,IF(AND($C$4="en USD a 31 de diciembre",$K$4="en COP miles a 31 de diciembre"),(I8*Q$5)/1000,IF(AND($C$4="en USD a 31 de diciembre",$K$4="en COP millones a 31 de diciembre"),(I8*Q$5)/1000000,IF(AND($C$4="en USD a 31 de diciembre",$K$4="en USD a 31 de diciembre"),I8,IF(AND($C$4="en USD a 31 de diciembre",$K$4="en USD miles a 31 de diciembre"),I8/1000,IF(AND($C$4="en USD a 31 de diciembre",$K$4="en USD millones a 31 de diciembre"),I8/1000000,IF(AND($C$4="en USD miles a 31 de diciembre",$K$4="en COP a 31 de diciembre"),(I8*Q$5)*1000,IF(AND($C$4="en USD miles a 31 de diciembre",$K$4="en COP miles a 31 de diciembre"),I8*Q$5,IF(AND($C$4="en USD miles a 31 de diciembre",$K$4="en COP millones a 31 de diciembre"),(I8*Q$5)/1000,IF(AND($C$4="en USD miles a 31 de diciembre",$K$4="en USD a 31 de diciembre"),I8*1000,IF(AND($C$4="en USD miles a 31 de diciembre",$K$4="en USD miles a 31 de diciembre"),I8,IF(AND($C$4="en USD miles a 31 de diciembre",$K$4="en USD millones a 31 de diciembre"),I8/1000,IF(AND($C$4="en USD millones a 31 de diciembre",$K$4="en USD a 31 de diciembre"),I8*1000000,IF(AND($C$4="en USD millones a 31 de diciembre",$K$4="en USD miles a 31 de diciembre"),I8*1000,IF(AND($C$4="en USD millones a 31 de diciembre",$K$4="en USD millones a 31 de diciembre"),I8,IF(AND($C$4="en USD millones a 31 de diciembre",$K$4="en COP a 31 de diciembre"),(I8*Q$5)*1000000,IF(AND($C$4="en USD millones a 31 de diciembre",$K$4="en COP miles a 31 de diciembre"),(I8*Q$5)*1000,IF(AND($C$4="en USD millones a 31 de diciembre",$K$4="en COP millones a 31 de diciembre"),I8*Q$5)))))))))))))))))))))))))))))))))))))</f>
        <v>332840.98776828987</v>
      </c>
      <c r="R8" s="237">
        <f t="shared" ref="R8:R26" si="7">IF(AND($C$4="en COP a 31 de diciembre",$K$4="en COP a 31 de diciembre"),J8,IF(AND($C$4="en COP a 31 de diciembre",$K$4="en COP miles a 31 de diciembre"),J8/1000,IF(AND($C$4="en COP a 31 de diciembre",$K$4="en COP millones a 31 de diciembre"),J8/1000000,(IF(AND($C$4="en COP a 31 de diciembre",$K$4="en USD a 31 de diciembre"),J8/R$5,IF(AND($C$4="en COP a 31 de diciembre",$K$4="en USD miles a 31 de diciembre"),(J8/R$5)/1000,IF(AND($C$4="en COP a 31 de diciembre",$K$4="en USD millones a 31 de diciembre"),(J8/R$5)/1000000,IF(AND($C$4="en COP miles a 31 de diciembre",$K$4="en COP a 31 de diciembre"),J8/1000,IF(AND($C$4="en COP miles a 31 de diciembre",$K$4="en COP miles a 31 de diciembre"),J8,IF(AND($C$4="en COP miles a 31 de diciembre",$K$4="en COP millones a 31 de diciembre"),J8/1000,IF(AND($C$4="en COP miles a 31 de diciembre",$K$4="en USD a 31 de diciembre"),(J8*1000)/R$5,IF(AND($C$4="en COP miles a 31 de diciembre",$K$4="en USD miles a 31 de diciembre"),J8/R$5,IF(AND($C$4="en COP miles a 31 de diciembre",$K$4="en USD millones a 31 de diciembre"),((J8*1000)/R$5)/1000000,IF(AND($C$4="en COP millones a 31 de diciembre",$K$4="en COP a 31 de diciembre"),J8*1000000,IF(AND($C$4="en COP millones a 31 de diciembre",$K$4="en COP miles a 31 de diciembre"),J8*1000,IF(AND($C$4="en COP millones a 31 de diciembre",$K$4="en COP millones a 31 de diciembre"),J8,IF(AND($C$4="en COP millones a 31 de diciembre",$K$4="en USD a 31 de diciembre"),(J8*1000000)/R$5,IF(AND($C$4="en COP millones a 31 de diciembre",$K$4="en USD miles a 31 de diciembre"),(J8*1000)/R$5,IF(AND($C$4="en COP millones a 31 de diciembre",$K$4="en USD millones a 31 de diciembre"),J8/R$5,IF(AND($C$4="en USD a 31 de diciembre",$K$4="en COP a 31 de diciembre"),J8*R$5,IF(AND($C$4="en USD a 31 de diciembre",$K$4="en COP miles a 31 de diciembre"),(J8*R$5)/1000,IF(AND($C$4="en USD a 31 de diciembre",$K$4="en COP millones a 31 de diciembre"),(J8*R$5)/1000000,IF(AND($C$4="en USD a 31 de diciembre",$K$4="en USD a 31 de diciembre"),J8,IF(AND($C$4="en USD a 31 de diciembre",$K$4="en USD miles a 31 de diciembre"),J8/1000,IF(AND($C$4="en USD a 31 de diciembre",$K$4="en USD millones a 31 de diciembre"),J8/1000000,IF(AND($C$4="en USD miles a 31 de diciembre",$K$4="en COP a 31 de diciembre"),(J8*R$5)*1000,IF(AND($C$4="en USD miles a 31 de diciembre",$K$4="en COP miles a 31 de diciembre"),J8*R$5,IF(AND($C$4="en USD miles a 31 de diciembre",$K$4="en COP millones a 31 de diciembre"),(J8*R$5)/1000,IF(AND($C$4="en USD miles a 31 de diciembre",$K$4="en USD a 31 de diciembre"),J8*1000,IF(AND($C$4="en USD miles a 31 de diciembre",$K$4="en USD miles a 31 de diciembre"),J8,IF(AND($C$4="en USD miles a 31 de diciembre",$K$4="en USD millones a 31 de diciembre"),J8/1000,IF(AND($C$4="en USD millones a 31 de diciembre",$K$4="en USD a 31 de diciembre"),J8*1000000,IF(AND($C$4="en USD millones a 31 de diciembre",$K$4="en USD miles a 31 de diciembre"),J8*1000,IF(AND($C$4="en USD millones a 31 de diciembre",$K$4="en USD millones a 31 de diciembre"),J8,IF(AND($C$4="en USD millones a 31 de diciembre",$K$4="en COP a 31 de diciembre"),(J8*R$5)*1000000,IF(AND($C$4="en USD millones a 31 de diciembre",$K$4="en COP miles a 31 de diciembre"),(J8*R$5)*1000,IF(AND($C$4="en USD millones a 31 de diciembre",$K$4="en COP millones a 31 de diciembre"),J8*R$5)))))))))))))))))))))))))))))))))))))</f>
        <v>363622.85407397914</v>
      </c>
    </row>
    <row r="9" spans="1:18" x14ac:dyDescent="0.25">
      <c r="B9" s="5">
        <v>2</v>
      </c>
      <c r="C9" s="238" t="s">
        <v>8</v>
      </c>
      <c r="D9" s="410">
        <v>0</v>
      </c>
      <c r="E9" s="411">
        <v>0</v>
      </c>
      <c r="F9" s="411">
        <v>-4027</v>
      </c>
      <c r="G9" s="411">
        <v>-2188</v>
      </c>
      <c r="H9" s="412">
        <v>-16506</v>
      </c>
      <c r="I9" s="411">
        <v>-16491</v>
      </c>
      <c r="J9" s="413">
        <v>-24194</v>
      </c>
      <c r="K9" s="221"/>
      <c r="L9" s="239">
        <f>IF(AND($C$4="en COP a 31 de diciembre",$K$4="en COP a 31 de diciembre"),D9,IF(AND($C$4="en COP a 31 de diciembre",$K$4="en COP miles a 31 de diciembre"),D9/1000,IF(AND($C$4="en COP a 31 de diciembre",$K$4="en COP millones a 31 de diciembre"),D9/1000000,(IF(AND($C$4="en COP a 31 de diciembre",$K$4="en USD a 31 de diciembre"),D9/L$5,IF(AND($C$4="en COP a 31 de diciembre",$K$4="en USD miles a 31 de diciembre"),(D9/L$5)/1000,IF(AND($C$4="en COP a 31 de diciembre",$K$4="en USD millones a 31 de diciembre"),(D9/L$5)/1000000,IF(AND($C$4="en COP miles a 31 de diciembre",$K$4="en COP a 31 de diciembre"),D9/1000,IF(AND($C$4="en COP miles a 31 de diciembre",$K$4="en COP miles a 31 de diciembre"),D9,IF(AND($C$4="en COP miles a 31 de diciembre",$K$4="en COP millones a 31 de diciembre"),D9/1000,IF(AND($C$4="en COP miles a 31 de diciembre",$K$4="en USD a 31 de diciembre"),(D9*1000)/L$5,IF(AND($C$4="en COP miles a 31 de diciembre",$K$4="en USD miles a 31 de diciembre"),D9/L$5,IF(AND($C$4="en COP miles a 31 de diciembre",$K$4="en USD millones a 31 de diciembre"),((D9*1000)/L$5)/1000000,IF(AND($C$4="en COP millones a 31 de diciembre",$K$4="en COP a 31 de diciembre"),D9*1000000,IF(AND($C$4="en COP millones a 31 de diciembre",$K$4="en COP miles a 31 de diciembre"),D9*1000,IF(AND($C$4="en COP millones a 31 de diciembre",$K$4="en COP millones a 31 de diciembre"),D9,IF(AND($C$4="en COP millones a 31 de diciembre",$K$4="en USD a 31 de diciembre"),(D9*1000000)/L$5,IF(AND($C$4="en COP millones a 31 de diciembre",$K$4="en USD miles a 31 de diciembre"),(D9*1000)/L$5,IF(AND($C$4="en COP millones a 31 de diciembre",$K$4="en USD millones a 31 de diciembre"),D9/L$5,IF(AND($C$4="en USD a 31 de diciembre",$K$4="en COP a 31 de diciembre"),D9*L$5,IF(AND($C$4="en USD a 31 de diciembre",$K$4="en COP miles a 31 de diciembre"),(D9*L$5)/1000,IF(AND($C$4="en USD a 31 de diciembre",$K$4="en COP millones a 31 de diciembre"),(D9*L$5)/1000000,IF(AND($C$4="en USD a 31 de diciembre",$K$4="en USD a 31 de diciembre"),D9,IF(AND($C$4="en USD a 31 de diciembre",$K$4="en USD miles a 31 de diciembre"),D9/1000,IF(AND($C$4="en USD a 31 de diciembre",$K$4="en USD millones a 31 de diciembre"),D9/1000000,IF(AND($C$4="en USD miles a 31 de diciembre",$K$4="en COP a 31 de diciembre"),(D9*L$5)*1000,IF(AND($C$4="en USD miles a 31 de diciembre",$K$4="en COP miles a 31 de diciembre"),D9*L$5,IF(AND($C$4="en USD miles a 31 de diciembre",$K$4="en COP millones a 31 de diciembre"),(D9*L$5)/1000,IF(AND($C$4="en USD miles a 31 de diciembre",$K$4="en USD a 31 de diciembre"),D9*1000,IF(AND($C$4="en USD miles a 31 de diciembre",$K$4="en USD miles a 31 de diciembre"),D9,IF(AND($C$4="en USD miles a 31 de diciembre",$K$4="en USD millones a 31 de diciembre"),D9/1000,IF(AND($C$4="en USD millones a 31 de diciembre",$K$4="en USD a 31 de diciembre"),D9*1000000,IF(AND($C$4="en USD millones a 31 de diciembre",$K$4="en USD miles a 31 de diciembre"),D9*1000,IF(AND($C$4="en USD millones a 31 de diciembre",$K$4="en USD millones a 31 de diciembre"),D9,IF(AND($C$4="en USD millones a 31 de diciembre",$K$4="en COP a 31 de diciembre"),(D9*L$5)*1000000,IF(AND($C$4="en USD millones a 31 de diciembre",$K$4="en COP miles a 31 de diciembre"),(D9*L$5)*1000,IF(AND($C$4="en USD millones a 31 de diciembre",$K$4="en COP millones a 31 de diciembre"),D9*L$5)))))))))))))))))))))))))))))))))))))</f>
        <v>0</v>
      </c>
      <c r="M9" s="240">
        <f t="shared" si="2"/>
        <v>0</v>
      </c>
      <c r="N9" s="240">
        <f t="shared" si="3"/>
        <v>-1278.6278326194567</v>
      </c>
      <c r="O9" s="240">
        <f t="shared" si="4"/>
        <v>-729.16076528554913</v>
      </c>
      <c r="P9" s="241">
        <f t="shared" si="5"/>
        <v>-5531.5013404825741</v>
      </c>
      <c r="Q9" s="240">
        <f t="shared" si="6"/>
        <v>-5074.5441957073617</v>
      </c>
      <c r="R9" s="242">
        <f t="shared" si="7"/>
        <v>-7382.6568288202525</v>
      </c>
    </row>
    <row r="10" spans="1:18" ht="16.5" thickBot="1" x14ac:dyDescent="0.3">
      <c r="B10" s="5">
        <v>3</v>
      </c>
      <c r="C10" s="243" t="s">
        <v>9</v>
      </c>
      <c r="D10" s="414">
        <v>0</v>
      </c>
      <c r="E10" s="415">
        <v>0</v>
      </c>
      <c r="F10" s="415">
        <v>18994</v>
      </c>
      <c r="G10" s="415">
        <v>25228</v>
      </c>
      <c r="H10" s="416">
        <v>15050</v>
      </c>
      <c r="I10" s="415">
        <v>46408</v>
      </c>
      <c r="J10" s="417">
        <v>50335</v>
      </c>
      <c r="K10" s="221"/>
      <c r="L10" s="244">
        <f t="shared" ref="L10:L26" si="8">IF(AND($C$4="en COP a 31 de diciembre",$K$4="en COP a 31 de diciembre"),D10,IF(AND($C$4="en COP a 31 de diciembre",$K$4="en COP miles a 31 de diciembre"),D10/1000,IF(AND($C$4="en COP a 31 de diciembre",$K$4="en COP millones a 31 de diciembre"),D10/1000000,(IF(AND($C$4="en COP a 31 de diciembre",$K$4="en USD a 31 de diciembre"),D10/L$5,IF(AND($C$4="en COP a 31 de diciembre",$K$4="en USD miles a 31 de diciembre"),(D10/L$5)/1000,IF(AND($C$4="en COP a 31 de diciembre",$K$4="en USD millones a 31 de diciembre"),(D10/L$5)/1000000,IF(AND($C$4="en COP miles a 31 de diciembre",$K$4="en COP a 31 de diciembre"),D10/1000,IF(AND($C$4="en COP miles a 31 de diciembre",$K$4="en COP miles a 31 de diciembre"),D10,IF(AND($C$4="en COP miles a 31 de diciembre",$K$4="en COP millones a 31 de diciembre"),D10/1000,IF(AND($C$4="en COP miles a 31 de diciembre",$K$4="en USD a 31 de diciembre"),(D10*1000)/L$5,IF(AND($C$4="en COP miles a 31 de diciembre",$K$4="en USD miles a 31 de diciembre"),D10/L$5,IF(AND($C$4="en COP miles a 31 de diciembre",$K$4="en USD millones a 31 de diciembre"),((D10*1000)/L$5)/1000000,IF(AND($C$4="en COP millones a 31 de diciembre",$K$4="en COP a 31 de diciembre"),D10*1000000,IF(AND($C$4="en COP millones a 31 de diciembre",$K$4="en COP miles a 31 de diciembre"),D10*1000,IF(AND($C$4="en COP millones a 31 de diciembre",$K$4="en COP millones a 31 de diciembre"),D10,IF(AND($C$4="en COP millones a 31 de diciembre",$K$4="en USD a 31 de diciembre"),(D10*1000000)/L$5,IF(AND($C$4="en COP millones a 31 de diciembre",$K$4="en USD miles a 31 de diciembre"),(D10*1000)/L$5,IF(AND($C$4="en COP millones a 31 de diciembre",$K$4="en USD millones a 31 de diciembre"),D10/L$5,IF(AND($C$4="en USD a 31 de diciembre",$K$4="en COP a 31 de diciembre"),D10*L$5,IF(AND($C$4="en USD a 31 de diciembre",$K$4="en COP miles a 31 de diciembre"),(D10*L$5)/1000,IF(AND($C$4="en USD a 31 de diciembre",$K$4="en COP millones a 31 de diciembre"),(D10*L$5)/1000000,IF(AND($C$4="en USD a 31 de diciembre",$K$4="en USD a 31 de diciembre"),D10,IF(AND($C$4="en USD a 31 de diciembre",$K$4="en USD miles a 31 de diciembre"),D10/1000,IF(AND($C$4="en USD a 31 de diciembre",$K$4="en USD millones a 31 de diciembre"),D10/1000000,IF(AND($C$4="en USD miles a 31 de diciembre",$K$4="en COP a 31 de diciembre"),(D10*L$5)*1000,IF(AND($C$4="en USD miles a 31 de diciembre",$K$4="en COP miles a 31 de diciembre"),D10*L$5,IF(AND($C$4="en USD miles a 31 de diciembre",$K$4="en COP millones a 31 de diciembre"),(D10*L$5)/1000,IF(AND($C$4="en USD miles a 31 de diciembre",$K$4="en USD a 31 de diciembre"),D10*1000,IF(AND($C$4="en USD miles a 31 de diciembre",$K$4="en USD miles a 31 de diciembre"),D10,IF(AND($C$4="en USD miles a 31 de diciembre",$K$4="en USD millones a 31 de diciembre"),D10/1000,IF(AND($C$4="en USD millones a 31 de diciembre",$K$4="en USD a 31 de diciembre"),D10*1000000,IF(AND($C$4="en USD millones a 31 de diciembre",$K$4="en USD miles a 31 de diciembre"),D10*1000,IF(AND($C$4="en USD millones a 31 de diciembre",$K$4="en USD millones a 31 de diciembre"),D10,IF(AND($C$4="en USD millones a 31 de diciembre",$K$4="en COP a 31 de diciembre"),(D10*L$5)*1000000,IF(AND($C$4="en USD millones a 31 de diciembre",$K$4="en COP miles a 31 de diciembre"),(D10*L$5)*1000,IF(AND($C$4="en USD millones a 31 de diciembre",$K$4="en COP millones a 31 de diciembre"),D10*L$5)))))))))))))))))))))))))))))))))))))</f>
        <v>0</v>
      </c>
      <c r="M10" s="245">
        <f t="shared" si="2"/>
        <v>0</v>
      </c>
      <c r="N10" s="245">
        <f t="shared" si="3"/>
        <v>6030.8559852927638</v>
      </c>
      <c r="O10" s="245">
        <f t="shared" si="4"/>
        <v>8407.3435953491007</v>
      </c>
      <c r="P10" s="246">
        <f t="shared" si="5"/>
        <v>5043.565683646113</v>
      </c>
      <c r="Q10" s="245">
        <f t="shared" si="6"/>
        <v>14280.483114085699</v>
      </c>
      <c r="R10" s="247">
        <f t="shared" si="7"/>
        <v>15359.42925843876</v>
      </c>
    </row>
    <row r="11" spans="1:18" ht="17.25" thickTop="1" thickBot="1" x14ac:dyDescent="0.3">
      <c r="B11" s="3">
        <v>4</v>
      </c>
      <c r="C11" s="445" t="s">
        <v>10</v>
      </c>
      <c r="D11" s="248">
        <f t="shared" ref="D11:J11" si="9">D8+D9+D10</f>
        <v>753319</v>
      </c>
      <c r="E11" s="249">
        <f t="shared" si="9"/>
        <v>796775</v>
      </c>
      <c r="F11" s="249">
        <f t="shared" si="9"/>
        <v>875032</v>
      </c>
      <c r="G11" s="249">
        <f t="shared" si="9"/>
        <v>923541</v>
      </c>
      <c r="H11" s="250">
        <f t="shared" si="9"/>
        <v>1013343</v>
      </c>
      <c r="I11" s="251">
        <f t="shared" si="9"/>
        <v>1111567</v>
      </c>
      <c r="J11" s="252">
        <f t="shared" si="9"/>
        <v>1217784</v>
      </c>
      <c r="K11" s="221"/>
      <c r="L11" s="248">
        <f t="shared" si="8"/>
        <v>390962.87684954045</v>
      </c>
      <c r="M11" s="249">
        <f t="shared" si="2"/>
        <v>333035.87102814676</v>
      </c>
      <c r="N11" s="249">
        <f t="shared" si="3"/>
        <v>277834.68329591968</v>
      </c>
      <c r="O11" s="249">
        <f t="shared" si="4"/>
        <v>307774.16011543933</v>
      </c>
      <c r="P11" s="250">
        <f t="shared" si="5"/>
        <v>339592.15817694372</v>
      </c>
      <c r="Q11" s="251">
        <f t="shared" si="6"/>
        <v>342046.92668666819</v>
      </c>
      <c r="R11" s="252">
        <f t="shared" si="7"/>
        <v>371599.62650359765</v>
      </c>
    </row>
    <row r="12" spans="1:18" ht="16.5" thickBot="1" x14ac:dyDescent="0.3">
      <c r="B12" s="5">
        <v>5</v>
      </c>
      <c r="C12" s="253" t="s">
        <v>11</v>
      </c>
      <c r="D12" s="418">
        <v>555336</v>
      </c>
      <c r="E12" s="419">
        <v>572255</v>
      </c>
      <c r="F12" s="419">
        <v>640012</v>
      </c>
      <c r="G12" s="419">
        <v>691044</v>
      </c>
      <c r="H12" s="420">
        <v>763648</v>
      </c>
      <c r="I12" s="419">
        <v>805031</v>
      </c>
      <c r="J12" s="421">
        <v>889631</v>
      </c>
      <c r="K12" s="221"/>
      <c r="L12" s="254">
        <f t="shared" si="8"/>
        <v>288212.24498269177</v>
      </c>
      <c r="M12" s="255">
        <f t="shared" si="2"/>
        <v>239191.04185649916</v>
      </c>
      <c r="N12" s="255">
        <f t="shared" si="3"/>
        <v>203212.60402543921</v>
      </c>
      <c r="O12" s="255">
        <f t="shared" si="4"/>
        <v>230293.49720566132</v>
      </c>
      <c r="P12" s="256">
        <f t="shared" si="5"/>
        <v>255914.2091152815</v>
      </c>
      <c r="Q12" s="255">
        <f t="shared" si="6"/>
        <v>247720.90160781599</v>
      </c>
      <c r="R12" s="257">
        <f t="shared" si="7"/>
        <v>271465.66823510744</v>
      </c>
    </row>
    <row r="13" spans="1:18" ht="17.25" thickTop="1" thickBot="1" x14ac:dyDescent="0.3">
      <c r="B13" s="3">
        <v>6</v>
      </c>
      <c r="C13" s="258" t="s">
        <v>12</v>
      </c>
      <c r="D13" s="248">
        <f t="shared" ref="D13:I13" si="10">D11-D12</f>
        <v>197983</v>
      </c>
      <c r="E13" s="249">
        <f t="shared" si="10"/>
        <v>224520</v>
      </c>
      <c r="F13" s="249">
        <f t="shared" si="10"/>
        <v>235020</v>
      </c>
      <c r="G13" s="249">
        <f t="shared" si="10"/>
        <v>232497</v>
      </c>
      <c r="H13" s="250">
        <f t="shared" si="10"/>
        <v>249695</v>
      </c>
      <c r="I13" s="249">
        <f t="shared" si="10"/>
        <v>306536</v>
      </c>
      <c r="J13" s="259">
        <f>J11-J12</f>
        <v>328153</v>
      </c>
      <c r="K13" s="221"/>
      <c r="L13" s="248">
        <f t="shared" si="8"/>
        <v>102750.63186684866</v>
      </c>
      <c r="M13" s="249">
        <f t="shared" si="2"/>
        <v>93844.829171647594</v>
      </c>
      <c r="N13" s="249">
        <f t="shared" si="3"/>
        <v>74622.079270480433</v>
      </c>
      <c r="O13" s="249">
        <f t="shared" si="4"/>
        <v>77480.662909778024</v>
      </c>
      <c r="P13" s="250">
        <f t="shared" si="5"/>
        <v>83677.949061662192</v>
      </c>
      <c r="Q13" s="249">
        <f t="shared" si="6"/>
        <v>94326.025078852224</v>
      </c>
      <c r="R13" s="259">
        <f t="shared" si="7"/>
        <v>100133.95826849021</v>
      </c>
    </row>
    <row r="14" spans="1:18" ht="16.5" thickBot="1" x14ac:dyDescent="0.3">
      <c r="B14" s="5">
        <v>7</v>
      </c>
      <c r="C14" s="238" t="s">
        <v>13</v>
      </c>
      <c r="D14" s="410">
        <v>96538</v>
      </c>
      <c r="E14" s="411">
        <v>102177</v>
      </c>
      <c r="F14" s="411">
        <v>103243</v>
      </c>
      <c r="G14" s="411">
        <v>106728</v>
      </c>
      <c r="H14" s="412">
        <v>115922</v>
      </c>
      <c r="I14" s="411">
        <v>124466</v>
      </c>
      <c r="J14" s="413">
        <v>149015</v>
      </c>
      <c r="K14" s="221"/>
      <c r="L14" s="239">
        <f t="shared" si="8"/>
        <v>50101.980973931277</v>
      </c>
      <c r="M14" s="240">
        <f t="shared" si="2"/>
        <v>42707.924061426311</v>
      </c>
      <c r="N14" s="240">
        <f t="shared" si="3"/>
        <v>32781.071100851892</v>
      </c>
      <c r="O14" s="240">
        <f t="shared" si="4"/>
        <v>35567.582338846471</v>
      </c>
      <c r="P14" s="241">
        <f t="shared" si="5"/>
        <v>38847.855227882035</v>
      </c>
      <c r="Q14" s="240">
        <f t="shared" si="6"/>
        <v>38300.176936687436</v>
      </c>
      <c r="R14" s="242">
        <f t="shared" si="7"/>
        <v>45471.050977376617</v>
      </c>
    </row>
    <row r="15" spans="1:18" ht="16.5" thickBot="1" x14ac:dyDescent="0.3">
      <c r="B15" s="3">
        <v>8</v>
      </c>
      <c r="C15" s="260" t="s">
        <v>14</v>
      </c>
      <c r="D15" s="261">
        <f t="shared" ref="D15:I15" si="11">D13-D14</f>
        <v>101445</v>
      </c>
      <c r="E15" s="262">
        <f t="shared" si="11"/>
        <v>122343</v>
      </c>
      <c r="F15" s="262">
        <f t="shared" si="11"/>
        <v>131777</v>
      </c>
      <c r="G15" s="262">
        <f t="shared" si="11"/>
        <v>125769</v>
      </c>
      <c r="H15" s="263">
        <f t="shared" si="11"/>
        <v>133773</v>
      </c>
      <c r="I15" s="262">
        <f t="shared" si="11"/>
        <v>182070</v>
      </c>
      <c r="J15" s="264">
        <f>J13-J14</f>
        <v>179138</v>
      </c>
      <c r="K15" s="221"/>
      <c r="L15" s="261">
        <f t="shared" si="8"/>
        <v>52648.650892917387</v>
      </c>
      <c r="M15" s="262">
        <f t="shared" si="2"/>
        <v>51136.905110221276</v>
      </c>
      <c r="N15" s="262">
        <f t="shared" si="3"/>
        <v>41841.008169628542</v>
      </c>
      <c r="O15" s="262">
        <f t="shared" si="4"/>
        <v>41913.080570931546</v>
      </c>
      <c r="P15" s="263">
        <f t="shared" si="5"/>
        <v>44830.093833780164</v>
      </c>
      <c r="Q15" s="262">
        <f t="shared" si="6"/>
        <v>56025.848142164781</v>
      </c>
      <c r="R15" s="264">
        <f t="shared" si="7"/>
        <v>54662.907291113595</v>
      </c>
    </row>
    <row r="16" spans="1:18" ht="16.5" thickBot="1" x14ac:dyDescent="0.3">
      <c r="B16" s="5">
        <v>9</v>
      </c>
      <c r="C16" s="253" t="s">
        <v>15</v>
      </c>
      <c r="D16" s="418">
        <v>46056</v>
      </c>
      <c r="E16" s="419">
        <v>48487</v>
      </c>
      <c r="F16" s="419">
        <v>41395</v>
      </c>
      <c r="G16" s="419">
        <v>45201</v>
      </c>
      <c r="H16" s="420">
        <v>87398</v>
      </c>
      <c r="I16" s="419">
        <v>99558</v>
      </c>
      <c r="J16" s="421">
        <v>106606</v>
      </c>
      <c r="K16" s="221"/>
      <c r="L16" s="254">
        <f t="shared" si="8"/>
        <v>23902.471935770151</v>
      </c>
      <c r="M16" s="255">
        <f t="shared" si="2"/>
        <v>20266.587529154091</v>
      </c>
      <c r="N16" s="255">
        <f t="shared" si="3"/>
        <v>13143.481284152573</v>
      </c>
      <c r="O16" s="255">
        <f t="shared" si="4"/>
        <v>15063.434987053064</v>
      </c>
      <c r="P16" s="256">
        <f t="shared" si="5"/>
        <v>29288.87399463807</v>
      </c>
      <c r="Q16" s="255">
        <f t="shared" si="6"/>
        <v>30635.587352873299</v>
      </c>
      <c r="R16" s="257">
        <f t="shared" si="7"/>
        <v>32530.194010631221</v>
      </c>
    </row>
    <row r="17" spans="2:18" ht="17.25" thickTop="1" thickBot="1" x14ac:dyDescent="0.3">
      <c r="B17" s="3">
        <v>10</v>
      </c>
      <c r="C17" s="258" t="s">
        <v>16</v>
      </c>
      <c r="D17" s="248">
        <f t="shared" ref="D17:I17" si="12">D15-D16</f>
        <v>55389</v>
      </c>
      <c r="E17" s="249">
        <f t="shared" si="12"/>
        <v>73856</v>
      </c>
      <c r="F17" s="249">
        <f t="shared" si="12"/>
        <v>90382</v>
      </c>
      <c r="G17" s="249">
        <f t="shared" si="12"/>
        <v>80568</v>
      </c>
      <c r="H17" s="250">
        <f t="shared" si="12"/>
        <v>46375</v>
      </c>
      <c r="I17" s="249">
        <f t="shared" si="12"/>
        <v>82512</v>
      </c>
      <c r="J17" s="259">
        <f>J15-J16</f>
        <v>72532</v>
      </c>
      <c r="K17" s="221"/>
      <c r="L17" s="248">
        <f t="shared" si="8"/>
        <v>28746.178957147233</v>
      </c>
      <c r="M17" s="249">
        <f t="shared" si="2"/>
        <v>30870.317581067186</v>
      </c>
      <c r="N17" s="249">
        <f t="shared" si="3"/>
        <v>28697.526885475971</v>
      </c>
      <c r="O17" s="249">
        <f t="shared" si="4"/>
        <v>26849.645583878482</v>
      </c>
      <c r="P17" s="250">
        <f t="shared" si="5"/>
        <v>15541.219839142092</v>
      </c>
      <c r="Q17" s="249">
        <f t="shared" si="6"/>
        <v>25390.260789291486</v>
      </c>
      <c r="R17" s="259">
        <f t="shared" si="7"/>
        <v>22132.713280482374</v>
      </c>
    </row>
    <row r="18" spans="2:18" x14ac:dyDescent="0.25">
      <c r="B18" s="5">
        <v>11</v>
      </c>
      <c r="C18" s="238" t="s">
        <v>17</v>
      </c>
      <c r="D18" s="410">
        <v>0</v>
      </c>
      <c r="E18" s="411">
        <v>0</v>
      </c>
      <c r="F18" s="411">
        <v>-5336</v>
      </c>
      <c r="G18" s="411">
        <v>-16511</v>
      </c>
      <c r="H18" s="412">
        <v>-18465</v>
      </c>
      <c r="I18" s="411">
        <v>-11999</v>
      </c>
      <c r="J18" s="413">
        <v>-10715</v>
      </c>
      <c r="K18" s="221"/>
      <c r="L18" s="239">
        <f t="shared" si="8"/>
        <v>0</v>
      </c>
      <c r="M18" s="240">
        <f t="shared" si="2"/>
        <v>0</v>
      </c>
      <c r="N18" s="240">
        <f t="shared" si="3"/>
        <v>-1694.2533188123716</v>
      </c>
      <c r="O18" s="240">
        <f t="shared" si="4"/>
        <v>-5502.3644404157685</v>
      </c>
      <c r="P18" s="241">
        <f t="shared" si="5"/>
        <v>-6188.0026809651472</v>
      </c>
      <c r="Q18" s="240">
        <f t="shared" si="6"/>
        <v>-3692.2840218478345</v>
      </c>
      <c r="R18" s="242">
        <f t="shared" si="7"/>
        <v>-3269.6192411676034</v>
      </c>
    </row>
    <row r="19" spans="2:18" x14ac:dyDescent="0.25">
      <c r="B19" s="5">
        <v>12</v>
      </c>
      <c r="C19" s="238" t="s">
        <v>18</v>
      </c>
      <c r="D19" s="410">
        <v>1156</v>
      </c>
      <c r="E19" s="411">
        <v>3129</v>
      </c>
      <c r="F19" s="411">
        <v>8376</v>
      </c>
      <c r="G19" s="411">
        <v>13389</v>
      </c>
      <c r="H19" s="412">
        <v>12990</v>
      </c>
      <c r="I19" s="411">
        <v>8959</v>
      </c>
      <c r="J19" s="413">
        <v>7013</v>
      </c>
      <c r="K19" s="221"/>
      <c r="L19" s="239">
        <f t="shared" si="8"/>
        <v>599.94913925982053</v>
      </c>
      <c r="M19" s="240">
        <f t="shared" si="2"/>
        <v>1307.8588565744046</v>
      </c>
      <c r="N19" s="240">
        <f t="shared" si="3"/>
        <v>2659.495089650005</v>
      </c>
      <c r="O19" s="240">
        <f t="shared" si="4"/>
        <v>4461.9440065851086</v>
      </c>
      <c r="P19" s="241">
        <f t="shared" si="5"/>
        <v>4353.2171581769435</v>
      </c>
      <c r="Q19" s="240">
        <f t="shared" si="6"/>
        <v>2756.827448265251</v>
      </c>
      <c r="R19" s="242">
        <f t="shared" si="7"/>
        <v>2139.9757105280823</v>
      </c>
    </row>
    <row r="20" spans="2:18" x14ac:dyDescent="0.25">
      <c r="B20" s="5">
        <v>13</v>
      </c>
      <c r="C20" s="238" t="s">
        <v>19</v>
      </c>
      <c r="D20" s="410">
        <v>861</v>
      </c>
      <c r="E20" s="411">
        <v>2876</v>
      </c>
      <c r="F20" s="411">
        <v>-10792</v>
      </c>
      <c r="G20" s="411">
        <v>-2828</v>
      </c>
      <c r="H20" s="412">
        <v>-563</v>
      </c>
      <c r="I20" s="411">
        <v>0</v>
      </c>
      <c r="J20" s="413">
        <v>0</v>
      </c>
      <c r="K20" s="221"/>
      <c r="L20" s="239">
        <f t="shared" si="8"/>
        <v>446.84793157673488</v>
      </c>
      <c r="M20" s="240">
        <f t="shared" si="2"/>
        <v>1202.1099621310284</v>
      </c>
      <c r="N20" s="240">
        <f t="shared" si="3"/>
        <v>-3426.6082864735972</v>
      </c>
      <c r="O20" s="240">
        <f t="shared" si="4"/>
        <v>-942.44362167620329</v>
      </c>
      <c r="P20" s="241">
        <f t="shared" si="5"/>
        <v>-188.67292225201072</v>
      </c>
      <c r="Q20" s="240">
        <f t="shared" si="6"/>
        <v>0</v>
      </c>
      <c r="R20" s="242">
        <f t="shared" si="7"/>
        <v>0</v>
      </c>
    </row>
    <row r="21" spans="2:18" x14ac:dyDescent="0.25">
      <c r="B21" s="5">
        <v>14</v>
      </c>
      <c r="C21" s="238" t="s">
        <v>20</v>
      </c>
      <c r="D21" s="410">
        <v>10804</v>
      </c>
      <c r="E21" s="411">
        <v>103</v>
      </c>
      <c r="F21" s="411">
        <v>55077</v>
      </c>
      <c r="G21" s="411">
        <v>52768</v>
      </c>
      <c r="H21" s="412">
        <v>42794</v>
      </c>
      <c r="I21" s="411">
        <v>48100</v>
      </c>
      <c r="J21" s="413">
        <v>39165</v>
      </c>
      <c r="K21" s="221"/>
      <c r="L21" s="239">
        <f t="shared" si="8"/>
        <v>5607.1371112137558</v>
      </c>
      <c r="M21" s="240">
        <f t="shared" si="2"/>
        <v>43.051921453232239</v>
      </c>
      <c r="N21" s="240">
        <f t="shared" si="3"/>
        <v>17487.704280402737</v>
      </c>
      <c r="O21" s="240">
        <f t="shared" si="4"/>
        <v>17585.17150940944</v>
      </c>
      <c r="P21" s="241">
        <f t="shared" si="5"/>
        <v>14341.152815013405</v>
      </c>
      <c r="Q21" s="240">
        <f t="shared" si="6"/>
        <v>14801.138549119163</v>
      </c>
      <c r="R21" s="242">
        <f t="shared" si="7"/>
        <v>11950.969442867867</v>
      </c>
    </row>
    <row r="22" spans="2:18" x14ac:dyDescent="0.25">
      <c r="B22" s="5">
        <v>15</v>
      </c>
      <c r="C22" s="238" t="s">
        <v>21</v>
      </c>
      <c r="D22" s="410">
        <v>1027</v>
      </c>
      <c r="E22" s="411">
        <v>3605</v>
      </c>
      <c r="F22" s="411">
        <v>6021</v>
      </c>
      <c r="G22" s="411">
        <v>1900</v>
      </c>
      <c r="H22" s="412">
        <v>-661</v>
      </c>
      <c r="I22" s="411">
        <v>-382</v>
      </c>
      <c r="J22" s="413">
        <v>2270</v>
      </c>
      <c r="K22" s="221"/>
      <c r="L22" s="239">
        <f t="shared" si="8"/>
        <v>532.99979759501355</v>
      </c>
      <c r="M22" s="240">
        <f t="shared" si="2"/>
        <v>1506.8172508631283</v>
      </c>
      <c r="N22" s="240">
        <f t="shared" si="3"/>
        <v>1911.7502309912463</v>
      </c>
      <c r="O22" s="240">
        <f t="shared" si="4"/>
        <v>633.18347990975474</v>
      </c>
      <c r="P22" s="241">
        <f t="shared" si="5"/>
        <v>-221.51474530831098</v>
      </c>
      <c r="Q22" s="240">
        <f t="shared" si="6"/>
        <v>-117.54750365412724</v>
      </c>
      <c r="R22" s="242">
        <f t="shared" si="7"/>
        <v>692.67715141861504</v>
      </c>
    </row>
    <row r="23" spans="2:18" ht="16.5" thickBot="1" x14ac:dyDescent="0.3">
      <c r="B23" s="5">
        <v>16</v>
      </c>
      <c r="C23" s="243" t="s">
        <v>22</v>
      </c>
      <c r="D23" s="414">
        <v>-2421</v>
      </c>
      <c r="E23" s="415">
        <v>-2484</v>
      </c>
      <c r="F23" s="415">
        <v>-9131</v>
      </c>
      <c r="G23" s="415">
        <v>-11616</v>
      </c>
      <c r="H23" s="416">
        <v>5801</v>
      </c>
      <c r="I23" s="415">
        <v>8796</v>
      </c>
      <c r="J23" s="417">
        <v>9721</v>
      </c>
      <c r="K23" s="221"/>
      <c r="L23" s="244">
        <f t="shared" si="8"/>
        <v>-1256.4678772906796</v>
      </c>
      <c r="M23" s="245">
        <f t="shared" si="2"/>
        <v>-1038.2618727167853</v>
      </c>
      <c r="N23" s="245">
        <f t="shared" si="3"/>
        <v>-2899.2179636573774</v>
      </c>
      <c r="O23" s="245">
        <f t="shared" si="4"/>
        <v>-3871.083843490374</v>
      </c>
      <c r="P23" s="246">
        <f t="shared" si="5"/>
        <v>1944.0348525469169</v>
      </c>
      <c r="Q23" s="245">
        <f t="shared" si="6"/>
        <v>2706.6697438264482</v>
      </c>
      <c r="R23" s="247">
        <f t="shared" si="7"/>
        <v>2966.305986317338</v>
      </c>
    </row>
    <row r="24" spans="2:18" ht="17.25" thickTop="1" thickBot="1" x14ac:dyDescent="0.3">
      <c r="B24" s="3">
        <v>17</v>
      </c>
      <c r="C24" s="258" t="s">
        <v>23</v>
      </c>
      <c r="D24" s="248">
        <f t="shared" ref="D24:I24" si="13">D17+D18+D19+D20+D21+D22+D23</f>
        <v>66816</v>
      </c>
      <c r="E24" s="249">
        <f t="shared" si="13"/>
        <v>81085</v>
      </c>
      <c r="F24" s="249">
        <f t="shared" si="13"/>
        <v>134597</v>
      </c>
      <c r="G24" s="249">
        <f t="shared" si="13"/>
        <v>117670</v>
      </c>
      <c r="H24" s="250">
        <f t="shared" si="13"/>
        <v>88271</v>
      </c>
      <c r="I24" s="249">
        <f t="shared" si="13"/>
        <v>135986</v>
      </c>
      <c r="J24" s="259">
        <f>J17+J18+J19+J20+J21+J22+J23</f>
        <v>119986</v>
      </c>
      <c r="K24" s="221"/>
      <c r="L24" s="248">
        <f t="shared" si="8"/>
        <v>34676.645059501876</v>
      </c>
      <c r="M24" s="249">
        <f t="shared" si="2"/>
        <v>33891.893699372195</v>
      </c>
      <c r="N24" s="249">
        <f t="shared" si="3"/>
        <v>42736.396917576611</v>
      </c>
      <c r="O24" s="249">
        <f t="shared" si="4"/>
        <v>39214.052674200437</v>
      </c>
      <c r="P24" s="250">
        <f t="shared" si="5"/>
        <v>29581.434316353887</v>
      </c>
      <c r="Q24" s="249">
        <f t="shared" si="6"/>
        <v>41845.065005000382</v>
      </c>
      <c r="R24" s="259">
        <f t="shared" si="7"/>
        <v>36613.022330446671</v>
      </c>
    </row>
    <row r="25" spans="2:18" ht="16.5" thickBot="1" x14ac:dyDescent="0.3">
      <c r="B25" s="5">
        <v>18</v>
      </c>
      <c r="C25" s="253" t="s">
        <v>24</v>
      </c>
      <c r="D25" s="418">
        <v>-10665</v>
      </c>
      <c r="E25" s="419">
        <v>-11374</v>
      </c>
      <c r="F25" s="419">
        <v>-31367</v>
      </c>
      <c r="G25" s="419">
        <v>-13304</v>
      </c>
      <c r="H25" s="420">
        <v>-9697</v>
      </c>
      <c r="I25" s="419">
        <v>-247</v>
      </c>
      <c r="J25" s="421">
        <v>-25713</v>
      </c>
      <c r="K25" s="221"/>
      <c r="L25" s="254">
        <f t="shared" si="8"/>
        <v>-5534.997898102064</v>
      </c>
      <c r="M25" s="255">
        <f t="shared" si="2"/>
        <v>-4754.1024719326551</v>
      </c>
      <c r="N25" s="255">
        <f t="shared" si="3"/>
        <v>-9959.4534953500115</v>
      </c>
      <c r="O25" s="255">
        <f t="shared" si="4"/>
        <v>-4433.6173772207239</v>
      </c>
      <c r="P25" s="256">
        <f t="shared" si="5"/>
        <v>-3249.6648793565682</v>
      </c>
      <c r="Q25" s="255">
        <f t="shared" si="6"/>
        <v>-76.005846603584885</v>
      </c>
      <c r="R25" s="257">
        <f t="shared" si="7"/>
        <v>-7846.1707464435458</v>
      </c>
    </row>
    <row r="26" spans="2:18" ht="17.25" thickTop="1" thickBot="1" x14ac:dyDescent="0.3">
      <c r="B26" s="3">
        <v>19</v>
      </c>
      <c r="C26" s="258" t="s">
        <v>25</v>
      </c>
      <c r="D26" s="248">
        <f t="shared" ref="D26:I26" si="14">D24+D25</f>
        <v>56151</v>
      </c>
      <c r="E26" s="249">
        <f t="shared" si="14"/>
        <v>69711</v>
      </c>
      <c r="F26" s="249">
        <f t="shared" si="14"/>
        <v>103230</v>
      </c>
      <c r="G26" s="249">
        <f t="shared" si="14"/>
        <v>104366</v>
      </c>
      <c r="H26" s="250">
        <f t="shared" si="14"/>
        <v>78574</v>
      </c>
      <c r="I26" s="249">
        <f t="shared" si="14"/>
        <v>135739</v>
      </c>
      <c r="J26" s="259">
        <f>J24+J25</f>
        <v>94273</v>
      </c>
      <c r="K26" s="221"/>
      <c r="L26" s="248">
        <f t="shared" si="8"/>
        <v>29141.647161399815</v>
      </c>
      <c r="M26" s="249">
        <f t="shared" si="2"/>
        <v>29137.791227439538</v>
      </c>
      <c r="N26" s="249">
        <f t="shared" si="3"/>
        <v>32776.943422226599</v>
      </c>
      <c r="O26" s="249">
        <f t="shared" si="4"/>
        <v>34780.435296979711</v>
      </c>
      <c r="P26" s="250">
        <f t="shared" si="5"/>
        <v>26331.769436997318</v>
      </c>
      <c r="Q26" s="249">
        <f t="shared" si="6"/>
        <v>41769.059158396798</v>
      </c>
      <c r="R26" s="259">
        <f t="shared" si="7"/>
        <v>28766.851584003125</v>
      </c>
    </row>
    <row r="27" spans="2:18" ht="5.0999999999999996" customHeight="1" thickBot="1" x14ac:dyDescent="0.3">
      <c r="C27" s="221"/>
      <c r="D27" s="265"/>
      <c r="E27" s="265"/>
      <c r="F27" s="265"/>
      <c r="G27" s="265"/>
      <c r="H27" s="266"/>
      <c r="I27" s="266"/>
      <c r="J27" s="265"/>
      <c r="K27" s="221"/>
      <c r="L27" s="265"/>
      <c r="M27" s="265"/>
      <c r="N27" s="265"/>
      <c r="O27" s="265"/>
      <c r="P27" s="266"/>
      <c r="Q27" s="266"/>
      <c r="R27" s="265"/>
    </row>
    <row r="28" spans="2:18" ht="19.5" thickBot="1" x14ac:dyDescent="0.35">
      <c r="C28" s="232" t="s">
        <v>26</v>
      </c>
      <c r="D28" s="265"/>
      <c r="E28" s="267"/>
      <c r="F28" s="267"/>
      <c r="G28" s="265"/>
      <c r="H28" s="265"/>
      <c r="I28" s="265"/>
      <c r="J28" s="265"/>
      <c r="K28" s="221"/>
      <c r="L28" s="265"/>
      <c r="M28" s="267"/>
      <c r="N28" s="267"/>
      <c r="O28" s="265"/>
      <c r="P28" s="265"/>
      <c r="Q28" s="265"/>
      <c r="R28" s="265"/>
    </row>
    <row r="29" spans="2:18" ht="5.0999999999999996" customHeight="1" thickBot="1" x14ac:dyDescent="0.3">
      <c r="C29" s="221"/>
      <c r="D29" s="265"/>
      <c r="E29" s="265"/>
      <c r="F29" s="265"/>
      <c r="G29" s="265"/>
      <c r="H29" s="265"/>
      <c r="I29" s="265"/>
      <c r="J29" s="265"/>
      <c r="K29" s="221"/>
      <c r="L29" s="265"/>
      <c r="M29" s="265"/>
      <c r="N29" s="265"/>
      <c r="O29" s="265"/>
      <c r="P29" s="265"/>
      <c r="Q29" s="265"/>
      <c r="R29" s="265"/>
    </row>
    <row r="30" spans="2:18" ht="16.5" thickBot="1" x14ac:dyDescent="0.3">
      <c r="C30" s="460" t="s">
        <v>27</v>
      </c>
      <c r="D30" s="230"/>
      <c r="E30" s="230"/>
      <c r="F30" s="268"/>
      <c r="G30" s="268"/>
      <c r="H30" s="268"/>
      <c r="I30" s="268"/>
      <c r="J30" s="269"/>
      <c r="K30" s="221"/>
      <c r="L30" s="268"/>
      <c r="M30" s="268"/>
      <c r="N30" s="268"/>
      <c r="O30" s="268"/>
      <c r="P30" s="268"/>
      <c r="Q30" s="268"/>
      <c r="R30" s="268"/>
    </row>
    <row r="31" spans="2:18" x14ac:dyDescent="0.25">
      <c r="B31" s="5">
        <v>20</v>
      </c>
      <c r="C31" s="233" t="s">
        <v>28</v>
      </c>
      <c r="D31" s="406">
        <v>5827</v>
      </c>
      <c r="E31" s="407">
        <v>9366</v>
      </c>
      <c r="F31" s="407">
        <v>17945</v>
      </c>
      <c r="G31" s="407">
        <v>20136</v>
      </c>
      <c r="H31" s="408">
        <v>12267</v>
      </c>
      <c r="I31" s="407">
        <v>6184</v>
      </c>
      <c r="J31" s="409">
        <v>11874</v>
      </c>
      <c r="K31" s="221"/>
      <c r="L31" s="234">
        <f t="shared" ref="L31:L42" si="15">IF(AND($C$4="en COP a 31 de diciembre",$K$4="en COP a 31 de diciembre"),D31,IF(AND($C$4="en COP a 31 de diciembre",$K$4="en COP miles a 31 de diciembre"),D31/1000,IF(AND($C$4="en COP a 31 de diciembre",$K$4="en COP millones a 31 de diciembre"),D31/1000000,(IF(AND($C$4="en COP a 31 de diciembre",$K$4="en USD a 31 de diciembre"),D31/L$5,IF(AND($C$4="en COP a 31 de diciembre",$K$4="en USD miles a 31 de diciembre"),(D31/L$5)/1000,IF(AND($C$4="en COP a 31 de diciembre",$K$4="en USD millones a 31 de diciembre"),(D31/L$5)/1000000,IF(AND($C$4="en COP miles a 31 de diciembre",$K$4="en COP a 31 de diciembre"),D31/1000,IF(AND($C$4="en COP miles a 31 de diciembre",$K$4="en COP miles a 31 de diciembre"),D31,IF(AND($C$4="en COP miles a 31 de diciembre",$K$4="en COP millones a 31 de diciembre"),D31/1000,IF(AND($C$4="en COP miles a 31 de diciembre",$K$4="en USD a 31 de diciembre"),(D31*1000)/L$5,IF(AND($C$4="en COP miles a 31 de diciembre",$K$4="en USD miles a 31 de diciembre"),D31/L$5,IF(AND($C$4="en COP miles a 31 de diciembre",$K$4="en USD millones a 31 de diciembre"),((D31*1000)/L$5)/1000000,IF(AND($C$4="en COP millones a 31 de diciembre",$K$4="en COP a 31 de diciembre"),D31*1000000,IF(AND($C$4="en COP millones a 31 de diciembre",$K$4="en COP miles a 31 de diciembre"),D31*1000,IF(AND($C$4="en COP millones a 31 de diciembre",$K$4="en COP millones a 31 de diciembre"),D31,IF(AND($C$4="en COP millones a 31 de diciembre",$K$4="en USD a 31 de diciembre"),(D31*1000000)/L$5,IF(AND($C$4="en COP millones a 31 de diciembre",$K$4="en USD miles a 31 de diciembre"),(D31*1000)/L$5,IF(AND($C$4="en COP millones a 31 de diciembre",$K$4="en USD millones a 31 de diciembre"),D31/L$5,IF(AND($C$4="en USD a 31 de diciembre",$K$4="en COP a 31 de diciembre"),D31*L$5,IF(AND($C$4="en USD a 31 de diciembre",$K$4="en COP miles a 31 de diciembre"),(D31*L$5)/1000,IF(AND($C$4="en USD a 31 de diciembre",$K$4="en COP millones a 31 de diciembre"),(D31*L$5)/1000000,IF(AND($C$4="en USD a 31 de diciembre",$K$4="en USD a 31 de diciembre"),D31,IF(AND($C$4="en USD a 31 de diciembre",$K$4="en USD miles a 31 de diciembre"),D31/1000,IF(AND($C$4="en USD a 31 de diciembre",$K$4="en USD millones a 31 de diciembre"),D31/1000000,IF(AND($C$4="en USD miles a 31 de diciembre",$K$4="en COP a 31 de diciembre"),(D31*L$5)*1000,IF(AND($C$4="en USD miles a 31 de diciembre",$K$4="en COP miles a 31 de diciembre"),D31*L$5,IF(AND($C$4="en USD miles a 31 de diciembre",$K$4="en COP millones a 31 de diciembre"),(D31*L$5)/1000,IF(AND($C$4="en USD miles a 31 de diciembre",$K$4="en USD a 31 de diciembre"),D31*1000,IF(AND($C$4="en USD miles a 31 de diciembre",$K$4="en USD miles a 31 de diciembre"),D31,IF(AND($C$4="en USD miles a 31 de diciembre",$K$4="en USD millones a 31 de diciembre"),D31/1000,IF(AND($C$4="en USD millones a 31 de diciembre",$K$4="en USD a 31 de diciembre"),D31*1000000,IF(AND($C$4="en USD millones a 31 de diciembre",$K$4="en USD miles a 31 de diciembre"),D31*1000,IF(AND($C$4="en USD millones a 31 de diciembre",$K$4="en USD millones a 31 de diciembre"),D31,IF(AND($C$4="en USD millones a 31 de diciembre",$K$4="en COP a 31 de diciembre"),(D31*L$5)*1000000,IF(AND($C$4="en USD millones a 31 de diciembre",$K$4="en COP miles a 31 de diciembre"),(D31*L$5)*1000,IF(AND($C$4="en USD millones a 31 de diciembre",$K$4="en COP millones a 31 de diciembre"),D31*L$5)))))))))))))))))))))))))))))))))))))</f>
        <v>3024.1380920994588</v>
      </c>
      <c r="M31" s="235">
        <f t="shared" ref="M31:M42" si="16">IF(AND($C$4="en COP a 31 de diciembre",$K$4="en COP a 31 de diciembre"),E31,IF(AND($C$4="en COP a 31 de diciembre",$K$4="en COP miles a 31 de diciembre"),E31/1000,IF(AND($C$4="en COP a 31 de diciembre",$K$4="en COP millones a 31 de diciembre"),E31/1000000,(IF(AND($C$4="en COP a 31 de diciembre",$K$4="en USD a 31 de diciembre"),E31/M$5,IF(AND($C$4="en COP a 31 de diciembre",$K$4="en USD miles a 31 de diciembre"),(E31/M$5)/1000,IF(AND($C$4="en COP a 31 de diciembre",$K$4="en USD millones a 31 de diciembre"),(E31/M$5)/1000000,IF(AND($C$4="en COP miles a 31 de diciembre",$K$4="en COP a 31 de diciembre"),E31/1000,IF(AND($C$4="en COP miles a 31 de diciembre",$K$4="en COP miles a 31 de diciembre"),E31,IF(AND($C$4="en COP miles a 31 de diciembre",$K$4="en COP millones a 31 de diciembre"),E31/1000,IF(AND($C$4="en COP miles a 31 de diciembre",$K$4="en USD a 31 de diciembre"),(E31*1000)/M$5,IF(AND($C$4="en COP miles a 31 de diciembre",$K$4="en USD miles a 31 de diciembre"),E31/M$5,IF(AND($C$4="en COP miles a 31 de diciembre",$K$4="en USD millones a 31 de diciembre"),((E31*1000)/M$5)/1000000,IF(AND($C$4="en COP millones a 31 de diciembre",$K$4="en COP a 31 de diciembre"),E31*1000000,IF(AND($C$4="en COP millones a 31 de diciembre",$K$4="en COP miles a 31 de diciembre"),E31*1000,IF(AND($C$4="en COP millones a 31 de diciembre",$K$4="en COP millones a 31 de diciembre"),E31,IF(AND($C$4="en COP millones a 31 de diciembre",$K$4="en USD a 31 de diciembre"),(E31*1000000)/M$5,IF(AND($C$4="en COP millones a 31 de diciembre",$K$4="en USD miles a 31 de diciembre"),(E31*1000)/M$5,IF(AND($C$4="en COP millones a 31 de diciembre",$K$4="en USD millones a 31 de diciembre"),E31/M$5,IF(AND($C$4="en USD a 31 de diciembre",$K$4="en COP a 31 de diciembre"),E31*M$5,IF(AND($C$4="en USD a 31 de diciembre",$K$4="en COP miles a 31 de diciembre"),(E31*M$5)/1000,IF(AND($C$4="en USD a 31 de diciembre",$K$4="en COP millones a 31 de diciembre"),(E31*M$5)/1000000,IF(AND($C$4="en USD a 31 de diciembre",$K$4="en USD a 31 de diciembre"),E31,IF(AND($C$4="en USD a 31 de diciembre",$K$4="en USD miles a 31 de diciembre"),E31/1000,IF(AND($C$4="en USD a 31 de diciembre",$K$4="en USD millones a 31 de diciembre"),E31/1000000,IF(AND($C$4="en USD miles a 31 de diciembre",$K$4="en COP a 31 de diciembre"),(E31*M$5)*1000,IF(AND($C$4="en USD miles a 31 de diciembre",$K$4="en COP miles a 31 de diciembre"),E31*M$5,IF(AND($C$4="en USD miles a 31 de diciembre",$K$4="en COP millones a 31 de diciembre"),(E31*M$5)/1000,IF(AND($C$4="en USD miles a 31 de diciembre",$K$4="en USD a 31 de diciembre"),E31*1000,IF(AND($C$4="en USD miles a 31 de diciembre",$K$4="en USD miles a 31 de diciembre"),E31,IF(AND($C$4="en USD miles a 31 de diciembre",$K$4="en USD millones a 31 de diciembre"),E31/1000,IF(AND($C$4="en USD millones a 31 de diciembre",$K$4="en USD a 31 de diciembre"),E31*1000000,IF(AND($C$4="en USD millones a 31 de diciembre",$K$4="en USD miles a 31 de diciembre"),E31*1000,IF(AND($C$4="en USD millones a 31 de diciembre",$K$4="en USD millones a 31 de diciembre"),E31,IF(AND($C$4="en USD millones a 31 de diciembre",$K$4="en COP a 31 de diciembre"),(E31*M$5)*1000000,IF(AND($C$4="en USD millones a 31 de diciembre",$K$4="en COP miles a 31 de diciembre"),(E31*M$5)*1000,IF(AND($C$4="en USD millones a 31 de diciembre",$K$4="en COP millones a 31 de diciembre"),E31*M$5)))))))))))))))))))))))))))))))))))))</f>
        <v>3914.7989935045935</v>
      </c>
      <c r="N31" s="235">
        <f t="shared" ref="N31:N42" si="17">IF(AND($C$4="en COP a 31 de diciembre",$K$4="en COP a 31 de diciembre"),F31,IF(AND($C$4="en COP a 31 de diciembre",$K$4="en COP miles a 31 de diciembre"),F31/1000,IF(AND($C$4="en COP a 31 de diciembre",$K$4="en COP millones a 31 de diciembre"),F31/1000000,(IF(AND($C$4="en COP a 31 de diciembre",$K$4="en USD a 31 de diciembre"),F31/N$5,IF(AND($C$4="en COP a 31 de diciembre",$K$4="en USD miles a 31 de diciembre"),(F31/N$5)/1000,IF(AND($C$4="en COP a 31 de diciembre",$K$4="en USD millones a 31 de diciembre"),(F31/N$5)/1000000,IF(AND($C$4="en COP miles a 31 de diciembre",$K$4="en COP a 31 de diciembre"),F31/1000,IF(AND($C$4="en COP miles a 31 de diciembre",$K$4="en COP miles a 31 de diciembre"),F31,IF(AND($C$4="en COP miles a 31 de diciembre",$K$4="en COP millones a 31 de diciembre"),F31/1000,IF(AND($C$4="en COP miles a 31 de diciembre",$K$4="en USD a 31 de diciembre"),(F31*1000)/N$5,IF(AND($C$4="en COP miles a 31 de diciembre",$K$4="en USD miles a 31 de diciembre"),F31/N$5,IF(AND($C$4="en COP miles a 31 de diciembre",$K$4="en USD millones a 31 de diciembre"),((F31*1000)/N$5)/1000000,IF(AND($C$4="en COP millones a 31 de diciembre",$K$4="en COP a 31 de diciembre"),F31*1000000,IF(AND($C$4="en COP millones a 31 de diciembre",$K$4="en COP miles a 31 de diciembre"),F31*1000,IF(AND($C$4="en COP millones a 31 de diciembre",$K$4="en COP millones a 31 de diciembre"),F31,IF(AND($C$4="en COP millones a 31 de diciembre",$K$4="en USD a 31 de diciembre"),(F31*1000000)/N$5,IF(AND($C$4="en COP millones a 31 de diciembre",$K$4="en USD miles a 31 de diciembre"),(F31*1000)/N$5,IF(AND($C$4="en COP millones a 31 de diciembre",$K$4="en USD millones a 31 de diciembre"),F31/N$5,IF(AND($C$4="en USD a 31 de diciembre",$K$4="en COP a 31 de diciembre"),F31*N$5,IF(AND($C$4="en USD a 31 de diciembre",$K$4="en COP miles a 31 de diciembre"),(F31*N$5)/1000,IF(AND($C$4="en USD a 31 de diciembre",$K$4="en COP millones a 31 de diciembre"),(F31*N$5)/1000000,IF(AND($C$4="en USD a 31 de diciembre",$K$4="en USD a 31 de diciembre"),F31,IF(AND($C$4="en USD a 31 de diciembre",$K$4="en USD miles a 31 de diciembre"),F31/1000,IF(AND($C$4="en USD a 31 de diciembre",$K$4="en USD millones a 31 de diciembre"),F31/1000000,IF(AND($C$4="en USD miles a 31 de diciembre",$K$4="en COP a 31 de diciembre"),(F31*N$5)*1000,IF(AND($C$4="en USD miles a 31 de diciembre",$K$4="en COP miles a 31 de diciembre"),F31*N$5,IF(AND($C$4="en USD miles a 31 de diciembre",$K$4="en COP millones a 31 de diciembre"),(F31*N$5)/1000,IF(AND($C$4="en USD miles a 31 de diciembre",$K$4="en USD a 31 de diciembre"),F31*1000,IF(AND($C$4="en USD miles a 31 de diciembre",$K$4="en USD miles a 31 de diciembre"),F31,IF(AND($C$4="en USD miles a 31 de diciembre",$K$4="en USD millones a 31 de diciembre"),F31/1000,IF(AND($C$4="en USD millones a 31 de diciembre",$K$4="en USD a 31 de diciembre"),F31*1000000,IF(AND($C$4="en USD millones a 31 de diciembre",$K$4="en USD miles a 31 de diciembre"),F31*1000,IF(AND($C$4="en USD millones a 31 de diciembre",$K$4="en USD millones a 31 de diciembre"),F31,IF(AND($C$4="en USD millones a 31 de diciembre",$K$4="en COP a 31 de diciembre"),(F31*N$5)*1000000,IF(AND($C$4="en USD millones a 31 de diciembre",$K$4="en COP miles a 31 de diciembre"),(F31*N$5)*1000,IF(AND($C$4="en USD millones a 31 de diciembre",$K$4="en COP millones a 31 de diciembre"),F31*N$5)))))))))))))))))))))))))))))))))))))</f>
        <v>5697.784071605699</v>
      </c>
      <c r="O31" s="235">
        <f t="shared" ref="O31:O42" si="18">IF(AND($C$4="en COP a 31 de diciembre",$K$4="en COP a 31 de diciembre"),G31,IF(AND($C$4="en COP a 31 de diciembre",$K$4="en COP miles a 31 de diciembre"),G31/1000,IF(AND($C$4="en COP a 31 de diciembre",$K$4="en COP millones a 31 de diciembre"),G31/1000000,(IF(AND($C$4="en COP a 31 de diciembre",$K$4="en USD a 31 de diciembre"),G31/O$5,IF(AND($C$4="en COP a 31 de diciembre",$K$4="en USD miles a 31 de diciembre"),(G31/O$5)/1000,IF(AND($C$4="en COP a 31 de diciembre",$K$4="en USD millones a 31 de diciembre"),(G31/O$5)/1000000,IF(AND($C$4="en COP miles a 31 de diciembre",$K$4="en COP a 31 de diciembre"),G31/1000,IF(AND($C$4="en COP miles a 31 de diciembre",$K$4="en COP miles a 31 de diciembre"),G31,IF(AND($C$4="en COP miles a 31 de diciembre",$K$4="en COP millones a 31 de diciembre"),G31/1000,IF(AND($C$4="en COP miles a 31 de diciembre",$K$4="en USD a 31 de diciembre"),(G31*1000)/O$5,IF(AND($C$4="en COP miles a 31 de diciembre",$K$4="en USD miles a 31 de diciembre"),G31/O$5,IF(AND($C$4="en COP miles a 31 de diciembre",$K$4="en USD millones a 31 de diciembre"),((G31*1000)/O$5)/1000000,IF(AND($C$4="en COP millones a 31 de diciembre",$K$4="en COP a 31 de diciembre"),G31*1000000,IF(AND($C$4="en COP millones a 31 de diciembre",$K$4="en COP miles a 31 de diciembre"),G31*1000,IF(AND($C$4="en COP millones a 31 de diciembre",$K$4="en COP millones a 31 de diciembre"),G31,IF(AND($C$4="en COP millones a 31 de diciembre",$K$4="en USD a 31 de diciembre"),(G31*1000000)/O$5,IF(AND($C$4="en COP millones a 31 de diciembre",$K$4="en USD miles a 31 de diciembre"),(G31*1000)/O$5,IF(AND($C$4="en COP millones a 31 de diciembre",$K$4="en USD millones a 31 de diciembre"),G31/O$5,IF(AND($C$4="en USD a 31 de diciembre",$K$4="en COP a 31 de diciembre"),G31*O$5,IF(AND($C$4="en USD a 31 de diciembre",$K$4="en COP miles a 31 de diciembre"),(G31*O$5)/1000,IF(AND($C$4="en USD a 31 de diciembre",$K$4="en COP millones a 31 de diciembre"),(G31*O$5)/1000000,IF(AND($C$4="en USD a 31 de diciembre",$K$4="en USD a 31 de diciembre"),G31,IF(AND($C$4="en USD a 31 de diciembre",$K$4="en USD miles a 31 de diciembre"),G31/1000,IF(AND($C$4="en USD a 31 de diciembre",$K$4="en USD millones a 31 de diciembre"),G31/1000000,IF(AND($C$4="en USD miles a 31 de diciembre",$K$4="en COP a 31 de diciembre"),(G31*O$5)*1000,IF(AND($C$4="en USD miles a 31 de diciembre",$K$4="en COP miles a 31 de diciembre"),G31*O$5,IF(AND($C$4="en USD miles a 31 de diciembre",$K$4="en COP millones a 31 de diciembre"),(G31*O$5)/1000,IF(AND($C$4="en USD miles a 31 de diciembre",$K$4="en USD a 31 de diciembre"),G31*1000,IF(AND($C$4="en USD miles a 31 de diciembre",$K$4="en USD miles a 31 de diciembre"),G31,IF(AND($C$4="en USD miles a 31 de diciembre",$K$4="en USD millones a 31 de diciembre"),G31/1000,IF(AND($C$4="en USD millones a 31 de diciembre",$K$4="en USD a 31 de diciembre"),G31*1000000,IF(AND($C$4="en USD millones a 31 de diciembre",$K$4="en USD miles a 31 de diciembre"),G31*1000,IF(AND($C$4="en USD millones a 31 de diciembre",$K$4="en USD millones a 31 de diciembre"),G31,IF(AND($C$4="en USD millones a 31 de diciembre",$K$4="en COP a 31 de diciembre"),(G31*O$5)*1000000,IF(AND($C$4="en USD millones a 31 de diciembre",$K$4="en COP miles a 31 de diciembre"),(G31*O$5)*1000,IF(AND($C$4="en USD millones a 31 de diciembre",$K$4="en COP millones a 31 de diciembre"),G31*O$5)))))))))))))))))))))))))))))))))))))</f>
        <v>6710.411869190958</v>
      </c>
      <c r="P31" s="236">
        <f t="shared" ref="P31:P42" si="19">IF(AND($C$4="en COP a 31 de diciembre",$K$4="en COP a 31 de diciembre"),H31,IF(AND($C$4="en COP a 31 de diciembre",$K$4="en COP miles a 31 de diciembre"),H31/1000,IF(AND($C$4="en COP a 31 de diciembre",$K$4="en COP millones a 31 de diciembre"),H31/1000000,(IF(AND($C$4="en COP a 31 de diciembre",$K$4="en USD a 31 de diciembre"),H31/P$5,IF(AND($C$4="en COP a 31 de diciembre",$K$4="en USD miles a 31 de diciembre"),(H31/P$5)/1000,IF(AND($C$4="en COP a 31 de diciembre",$K$4="en USD millones a 31 de diciembre"),(H31/P$5)/1000000,IF(AND($C$4="en COP miles a 31 de diciembre",$K$4="en COP a 31 de diciembre"),H31/1000,IF(AND($C$4="en COP miles a 31 de diciembre",$K$4="en COP miles a 31 de diciembre"),H31,IF(AND($C$4="en COP miles a 31 de diciembre",$K$4="en COP millones a 31 de diciembre"),H31/1000,IF(AND($C$4="en COP miles a 31 de diciembre",$K$4="en USD a 31 de diciembre"),(H31*1000)/P$5,IF(AND($C$4="en COP miles a 31 de diciembre",$K$4="en USD miles a 31 de diciembre"),H31/P$5,IF(AND($C$4="en COP miles a 31 de diciembre",$K$4="en USD millones a 31 de diciembre"),((H31*1000)/P$5)/1000000,IF(AND($C$4="en COP millones a 31 de diciembre",$K$4="en COP a 31 de diciembre"),H31*1000000,IF(AND($C$4="en COP millones a 31 de diciembre",$K$4="en COP miles a 31 de diciembre"),H31*1000,IF(AND($C$4="en COP millones a 31 de diciembre",$K$4="en COP millones a 31 de diciembre"),H31,IF(AND($C$4="en COP millones a 31 de diciembre",$K$4="en USD a 31 de diciembre"),(H31*1000000)/P$5,IF(AND($C$4="en COP millones a 31 de diciembre",$K$4="en USD miles a 31 de diciembre"),(H31*1000)/P$5,IF(AND($C$4="en COP millones a 31 de diciembre",$K$4="en USD millones a 31 de diciembre"),H31/P$5,IF(AND($C$4="en USD a 31 de diciembre",$K$4="en COP a 31 de diciembre"),H31*P$5,IF(AND($C$4="en USD a 31 de diciembre",$K$4="en COP miles a 31 de diciembre"),(H31*P$5)/1000,IF(AND($C$4="en USD a 31 de diciembre",$K$4="en COP millones a 31 de diciembre"),(H31*P$5)/1000000,IF(AND($C$4="en USD a 31 de diciembre",$K$4="en USD a 31 de diciembre"),H31,IF(AND($C$4="en USD a 31 de diciembre",$K$4="en USD miles a 31 de diciembre"),H31/1000,IF(AND($C$4="en USD a 31 de diciembre",$K$4="en USD millones a 31 de diciembre"),H31/1000000,IF(AND($C$4="en USD miles a 31 de diciembre",$K$4="en COP a 31 de diciembre"),(H31*P$5)*1000,IF(AND($C$4="en USD miles a 31 de diciembre",$K$4="en COP miles a 31 de diciembre"),H31*P$5,IF(AND($C$4="en USD miles a 31 de diciembre",$K$4="en COP millones a 31 de diciembre"),(H31*P$5)/1000,IF(AND($C$4="en USD miles a 31 de diciembre",$K$4="en USD a 31 de diciembre"),H31*1000,IF(AND($C$4="en USD miles a 31 de diciembre",$K$4="en USD miles a 31 de diciembre"),H31,IF(AND($C$4="en USD miles a 31 de diciembre",$K$4="en USD millones a 31 de diciembre"),H31/1000,IF(AND($C$4="en USD millones a 31 de diciembre",$K$4="en USD a 31 de diciembre"),H31*1000000,IF(AND($C$4="en USD millones a 31 de diciembre",$K$4="en USD miles a 31 de diciembre"),H31*1000,IF(AND($C$4="en USD millones a 31 de diciembre",$K$4="en USD millones a 31 de diciembre"),H31,IF(AND($C$4="en USD millones a 31 de diciembre",$K$4="en COP a 31 de diciembre"),(H31*P$5)*1000000,IF(AND($C$4="en USD millones a 31 de diciembre",$K$4="en COP miles a 31 de diciembre"),(H31*P$5)*1000,IF(AND($C$4="en USD millones a 31 de diciembre",$K$4="en COP millones a 31 de diciembre"),H31*P$5)))))))))))))))))))))))))))))))))))))</f>
        <v>4110.9249329758713</v>
      </c>
      <c r="Q31" s="235">
        <f t="shared" ref="Q31:Q42" si="20">IF(AND($C$4="en COP a 31 de diciembre",$K$4="en COP a 31 de diciembre"),I31,IF(AND($C$4="en COP a 31 de diciembre",$K$4="en COP miles a 31 de diciembre"),I31/1000,IF(AND($C$4="en COP a 31 de diciembre",$K$4="en COP millones a 31 de diciembre"),I31/1000000,(IF(AND($C$4="en COP a 31 de diciembre",$K$4="en USD a 31 de diciembre"),I31/Q$5,IF(AND($C$4="en COP a 31 de diciembre",$K$4="en USD miles a 31 de diciembre"),(I31/Q$5)/1000,IF(AND($C$4="en COP a 31 de diciembre",$K$4="en USD millones a 31 de diciembre"),(I31/Q$5)/1000000,IF(AND($C$4="en COP miles a 31 de diciembre",$K$4="en COP a 31 de diciembre"),I31/1000,IF(AND($C$4="en COP miles a 31 de diciembre",$K$4="en COP miles a 31 de diciembre"),I31,IF(AND($C$4="en COP miles a 31 de diciembre",$K$4="en COP millones a 31 de diciembre"),I31/1000,IF(AND($C$4="en COP miles a 31 de diciembre",$K$4="en USD a 31 de diciembre"),(I31*1000)/Q$5,IF(AND($C$4="en COP miles a 31 de diciembre",$K$4="en USD miles a 31 de diciembre"),I31/Q$5,IF(AND($C$4="en COP miles a 31 de diciembre",$K$4="en USD millones a 31 de diciembre"),((I31*1000)/Q$5)/1000000,IF(AND($C$4="en COP millones a 31 de diciembre",$K$4="en COP a 31 de diciembre"),I31*1000000,IF(AND($C$4="en COP millones a 31 de diciembre",$K$4="en COP miles a 31 de diciembre"),I31*1000,IF(AND($C$4="en COP millones a 31 de diciembre",$K$4="en COP millones a 31 de diciembre"),I31,IF(AND($C$4="en COP millones a 31 de diciembre",$K$4="en USD a 31 de diciembre"),(I31*1000000)/Q$5,IF(AND($C$4="en COP millones a 31 de diciembre",$K$4="en USD miles a 31 de diciembre"),(I31*1000)/Q$5,IF(AND($C$4="en COP millones a 31 de diciembre",$K$4="en USD millones a 31 de diciembre"),I31/Q$5,IF(AND($C$4="en USD a 31 de diciembre",$K$4="en COP a 31 de diciembre"),I31*Q$5,IF(AND($C$4="en USD a 31 de diciembre",$K$4="en COP miles a 31 de diciembre"),(I31*Q$5)/1000,IF(AND($C$4="en USD a 31 de diciembre",$K$4="en COP millones a 31 de diciembre"),(I31*Q$5)/1000000,IF(AND($C$4="en USD a 31 de diciembre",$K$4="en USD a 31 de diciembre"),I31,IF(AND($C$4="en USD a 31 de diciembre",$K$4="en USD miles a 31 de diciembre"),I31/1000,IF(AND($C$4="en USD a 31 de diciembre",$K$4="en USD millones a 31 de diciembre"),I31/1000000,IF(AND($C$4="en USD miles a 31 de diciembre",$K$4="en COP a 31 de diciembre"),(I31*Q$5)*1000,IF(AND($C$4="en USD miles a 31 de diciembre",$K$4="en COP miles a 31 de diciembre"),I31*Q$5,IF(AND($C$4="en USD miles a 31 de diciembre",$K$4="en COP millones a 31 de diciembre"),(I31*Q$5)/1000,IF(AND($C$4="en USD miles a 31 de diciembre",$K$4="en USD a 31 de diciembre"),I31*1000,IF(AND($C$4="en USD miles a 31 de diciembre",$K$4="en USD miles a 31 de diciembre"),I31,IF(AND($C$4="en USD miles a 31 de diciembre",$K$4="en USD millones a 31 de diciembre"),I31/1000,IF(AND($C$4="en USD millones a 31 de diciembre",$K$4="en USD a 31 de diciembre"),I31*1000000,IF(AND($C$4="en USD millones a 31 de diciembre",$K$4="en USD miles a 31 de diciembre"),I31*1000,IF(AND($C$4="en USD millones a 31 de diciembre",$K$4="en USD millones a 31 de diciembre"),I31,IF(AND($C$4="en USD millones a 31 de diciembre",$K$4="en COP a 31 de diciembre"),(I31*Q$5)*1000000,IF(AND($C$4="en USD millones a 31 de diciembre",$K$4="en COP miles a 31 de diciembre"),(I31*Q$5)*1000,IF(AND($C$4="en USD millones a 31 de diciembre",$K$4="en COP millones a 31 de diciembre"),I31*Q$5)))))))))))))))))))))))))))))))))))))</f>
        <v>1902.9156088929917</v>
      </c>
      <c r="R31" s="237">
        <f t="shared" ref="R31:R42" si="21">IF(AND($C$4="en COP a 31 de diciembre",$K$4="en COP a 31 de diciembre"),J31,IF(AND($C$4="en COP a 31 de diciembre",$K$4="en COP miles a 31 de diciembre"),J31/1000,IF(AND($C$4="en COP a 31 de diciembre",$K$4="en COP millones a 31 de diciembre"),J31/1000000,(IF(AND($C$4="en COP a 31 de diciembre",$K$4="en USD a 31 de diciembre"),J31/R$5,IF(AND($C$4="en COP a 31 de diciembre",$K$4="en USD miles a 31 de diciembre"),(J31/R$5)/1000,IF(AND($C$4="en COP a 31 de diciembre",$K$4="en USD millones a 31 de diciembre"),(J31/R$5)/1000000,IF(AND($C$4="en COP miles a 31 de diciembre",$K$4="en COP a 31 de diciembre"),J31/1000,IF(AND($C$4="en COP miles a 31 de diciembre",$K$4="en COP miles a 31 de diciembre"),J31,IF(AND($C$4="en COP miles a 31 de diciembre",$K$4="en COP millones a 31 de diciembre"),J31/1000,IF(AND($C$4="en COP miles a 31 de diciembre",$K$4="en USD a 31 de diciembre"),(J31*1000)/R$5,IF(AND($C$4="en COP miles a 31 de diciembre",$K$4="en USD miles a 31 de diciembre"),J31/R$5,IF(AND($C$4="en COP miles a 31 de diciembre",$K$4="en USD millones a 31 de diciembre"),((J31*1000)/R$5)/1000000,IF(AND($C$4="en COP millones a 31 de diciembre",$K$4="en COP a 31 de diciembre"),J31*1000000,IF(AND($C$4="en COP millones a 31 de diciembre",$K$4="en COP miles a 31 de diciembre"),J31*1000,IF(AND($C$4="en COP millones a 31 de diciembre",$K$4="en COP millones a 31 de diciembre"),J31,IF(AND($C$4="en COP millones a 31 de diciembre",$K$4="en USD a 31 de diciembre"),(J31*1000000)/R$5,IF(AND($C$4="en COP millones a 31 de diciembre",$K$4="en USD miles a 31 de diciembre"),(J31*1000)/R$5,IF(AND($C$4="en COP millones a 31 de diciembre",$K$4="en USD millones a 31 de diciembre"),J31/R$5,IF(AND($C$4="en USD a 31 de diciembre",$K$4="en COP a 31 de diciembre"),J31*R$5,IF(AND($C$4="en USD a 31 de diciembre",$K$4="en COP miles a 31 de diciembre"),(J31*R$5)/1000,IF(AND($C$4="en USD a 31 de diciembre",$K$4="en COP millones a 31 de diciembre"),(J31*R$5)/1000000,IF(AND($C$4="en USD a 31 de diciembre",$K$4="en USD a 31 de diciembre"),J31,IF(AND($C$4="en USD a 31 de diciembre",$K$4="en USD miles a 31 de diciembre"),J31/1000,IF(AND($C$4="en USD a 31 de diciembre",$K$4="en USD millones a 31 de diciembre"),J31/1000000,IF(AND($C$4="en USD miles a 31 de diciembre",$K$4="en COP a 31 de diciembre"),(J31*R$5)*1000,IF(AND($C$4="en USD miles a 31 de diciembre",$K$4="en COP miles a 31 de diciembre"),J31*R$5,IF(AND($C$4="en USD miles a 31 de diciembre",$K$4="en COP millones a 31 de diciembre"),(J31*R$5)/1000,IF(AND($C$4="en USD miles a 31 de diciembre",$K$4="en USD a 31 de diciembre"),J31*1000,IF(AND($C$4="en USD miles a 31 de diciembre",$K$4="en USD miles a 31 de diciembre"),J31,IF(AND($C$4="en USD miles a 31 de diciembre",$K$4="en USD millones a 31 de diciembre"),J31/1000,IF(AND($C$4="en USD millones a 31 de diciembre",$K$4="en USD a 31 de diciembre"),J31*1000000,IF(AND($C$4="en USD millones a 31 de diciembre",$K$4="en USD miles a 31 de diciembre"),J31*1000,IF(AND($C$4="en USD millones a 31 de diciembre",$K$4="en USD millones a 31 de diciembre"),J31,IF(AND($C$4="en USD millones a 31 de diciembre",$K$4="en COP a 31 de diciembre"),(J31*R$5)*1000000,IF(AND($C$4="en USD millones a 31 de diciembre",$K$4="en COP miles a 31 de diciembre"),(J31*R$5)*1000,IF(AND($C$4="en USD millones a 31 de diciembre",$K$4="en COP millones a 31 de diciembre"),J31*R$5)))))))))))))))))))))))))))))))))))))</f>
        <v>3623.2812757465354</v>
      </c>
    </row>
    <row r="32" spans="2:18" x14ac:dyDescent="0.25">
      <c r="B32" s="5">
        <v>21</v>
      </c>
      <c r="C32" s="238" t="s">
        <v>29</v>
      </c>
      <c r="D32" s="410">
        <v>153745</v>
      </c>
      <c r="E32" s="411">
        <v>178605</v>
      </c>
      <c r="F32" s="411">
        <v>149381</v>
      </c>
      <c r="G32" s="411">
        <v>163994</v>
      </c>
      <c r="H32" s="412">
        <v>182420</v>
      </c>
      <c r="I32" s="411">
        <v>169750</v>
      </c>
      <c r="J32" s="413">
        <v>197134</v>
      </c>
      <c r="K32" s="221"/>
      <c r="L32" s="239">
        <f t="shared" si="15"/>
        <v>79791.678560122062</v>
      </c>
      <c r="M32" s="240">
        <f t="shared" si="16"/>
        <v>74653.285739364495</v>
      </c>
      <c r="N32" s="240">
        <f t="shared" si="17"/>
        <v>47430.520055755413</v>
      </c>
      <c r="O32" s="240">
        <f t="shared" si="18"/>
        <v>54651.732423326481</v>
      </c>
      <c r="P32" s="241">
        <f t="shared" si="19"/>
        <v>61132.707774798924</v>
      </c>
      <c r="Q32" s="240">
        <f t="shared" si="20"/>
        <v>52234.787291330103</v>
      </c>
      <c r="R32" s="242">
        <f t="shared" si="21"/>
        <v>60154.28086685342</v>
      </c>
    </row>
    <row r="33" spans="2:18" x14ac:dyDescent="0.25">
      <c r="B33" s="5">
        <v>22</v>
      </c>
      <c r="C33" s="238" t="s">
        <v>30</v>
      </c>
      <c r="D33" s="410">
        <v>-4966</v>
      </c>
      <c r="E33" s="411">
        <v>-4741</v>
      </c>
      <c r="F33" s="411">
        <v>-4721</v>
      </c>
      <c r="G33" s="411">
        <v>-4156</v>
      </c>
      <c r="H33" s="412">
        <v>-4037</v>
      </c>
      <c r="I33" s="411">
        <v>-4055</v>
      </c>
      <c r="J33" s="413">
        <v>-1267</v>
      </c>
      <c r="K33" s="221"/>
      <c r="L33" s="239">
        <f t="shared" si="15"/>
        <v>-2577.2901605227239</v>
      </c>
      <c r="M33" s="240">
        <f t="shared" si="16"/>
        <v>-1981.6423263084857</v>
      </c>
      <c r="N33" s="240">
        <f t="shared" si="17"/>
        <v>-1498.9823684619953</v>
      </c>
      <c r="O33" s="240">
        <f t="shared" si="18"/>
        <v>-1385.0055486868107</v>
      </c>
      <c r="P33" s="241">
        <f t="shared" si="19"/>
        <v>-1352.8820375335122</v>
      </c>
      <c r="Q33" s="240">
        <f t="shared" si="20"/>
        <v>-1247.7882914070312</v>
      </c>
      <c r="R33" s="242">
        <f t="shared" si="21"/>
        <v>-386.61759949224017</v>
      </c>
    </row>
    <row r="34" spans="2:18" x14ac:dyDescent="0.25">
      <c r="B34" s="5">
        <v>23</v>
      </c>
      <c r="C34" s="238" t="s">
        <v>31</v>
      </c>
      <c r="D34" s="410">
        <v>40870</v>
      </c>
      <c r="E34" s="411">
        <v>46432</v>
      </c>
      <c r="F34" s="411">
        <v>54416</v>
      </c>
      <c r="G34" s="411">
        <v>64220</v>
      </c>
      <c r="H34" s="412">
        <v>59250</v>
      </c>
      <c r="I34" s="411">
        <v>67711</v>
      </c>
      <c r="J34" s="413">
        <v>71705</v>
      </c>
      <c r="K34" s="221"/>
      <c r="L34" s="239">
        <f t="shared" si="15"/>
        <v>21211.004603415975</v>
      </c>
      <c r="M34" s="240">
        <f t="shared" si="16"/>
        <v>19407.638999189119</v>
      </c>
      <c r="N34" s="240">
        <f t="shared" si="17"/>
        <v>17277.827697993631</v>
      </c>
      <c r="O34" s="240">
        <f t="shared" si="18"/>
        <v>21401.601620949707</v>
      </c>
      <c r="P34" s="241">
        <f t="shared" si="19"/>
        <v>19855.898123324398</v>
      </c>
      <c r="Q34" s="240">
        <f t="shared" si="20"/>
        <v>20835.756596661282</v>
      </c>
      <c r="R34" s="242">
        <f t="shared" si="21"/>
        <v>21880.359093599909</v>
      </c>
    </row>
    <row r="35" spans="2:18" ht="16.5" thickBot="1" x14ac:dyDescent="0.3">
      <c r="B35" s="5">
        <v>24</v>
      </c>
      <c r="C35" s="243" t="s">
        <v>32</v>
      </c>
      <c r="D35" s="414">
        <f>200635+6316+5068+1119+2200</f>
        <v>215338</v>
      </c>
      <c r="E35" s="415">
        <f>210205+5686+12234+1100+2297</f>
        <v>231522</v>
      </c>
      <c r="F35" s="415">
        <f>216648+51822+2+3549+2397+28700</f>
        <v>303118</v>
      </c>
      <c r="G35" s="415">
        <v>320681</v>
      </c>
      <c r="H35" s="416">
        <v>343232</v>
      </c>
      <c r="I35" s="415">
        <v>345088</v>
      </c>
      <c r="J35" s="417">
        <v>368749</v>
      </c>
      <c r="K35" s="221"/>
      <c r="L35" s="244">
        <f t="shared" si="15"/>
        <v>111757.65376291629</v>
      </c>
      <c r="M35" s="245">
        <f t="shared" si="16"/>
        <v>96771.523870827514</v>
      </c>
      <c r="N35" s="245">
        <f t="shared" si="17"/>
        <v>96244.129964724227</v>
      </c>
      <c r="O35" s="245">
        <f t="shared" si="18"/>
        <v>106868.37448470529</v>
      </c>
      <c r="P35" s="246">
        <f t="shared" si="19"/>
        <v>115024.12868632708</v>
      </c>
      <c r="Q35" s="245">
        <f t="shared" si="20"/>
        <v>106189.09146857451</v>
      </c>
      <c r="R35" s="247">
        <f t="shared" si="21"/>
        <v>112521.58894645942</v>
      </c>
    </row>
    <row r="36" spans="2:18" ht="17.25" thickTop="1" thickBot="1" x14ac:dyDescent="0.3">
      <c r="B36" s="3">
        <v>25</v>
      </c>
      <c r="C36" s="270" t="s">
        <v>33</v>
      </c>
      <c r="D36" s="248">
        <f>D31+D32+D33+D34+D35</f>
        <v>410814</v>
      </c>
      <c r="E36" s="249">
        <f t="shared" ref="E36:J36" si="22">E31+E32+E33+E34+E35</f>
        <v>461184</v>
      </c>
      <c r="F36" s="249">
        <f t="shared" si="22"/>
        <v>520139</v>
      </c>
      <c r="G36" s="249">
        <f t="shared" si="22"/>
        <v>564875</v>
      </c>
      <c r="H36" s="250">
        <f t="shared" si="22"/>
        <v>593132</v>
      </c>
      <c r="I36" s="249">
        <f t="shared" si="22"/>
        <v>584678</v>
      </c>
      <c r="J36" s="259">
        <f t="shared" si="22"/>
        <v>648195</v>
      </c>
      <c r="K36" s="221"/>
      <c r="L36" s="248">
        <f t="shared" si="15"/>
        <v>213207.18485803108</v>
      </c>
      <c r="M36" s="249">
        <f t="shared" si="16"/>
        <v>192765.60527657723</v>
      </c>
      <c r="N36" s="249">
        <f t="shared" si="17"/>
        <v>165151.27942161699</v>
      </c>
      <c r="O36" s="249">
        <f t="shared" si="18"/>
        <v>188247.11484948563</v>
      </c>
      <c r="P36" s="250">
        <f t="shared" si="19"/>
        <v>198770.77747989277</v>
      </c>
      <c r="Q36" s="249">
        <f t="shared" si="20"/>
        <v>179914.76267405186</v>
      </c>
      <c r="R36" s="259">
        <f t="shared" si="21"/>
        <v>197792.89258316703</v>
      </c>
    </row>
    <row r="37" spans="2:18" x14ac:dyDescent="0.25">
      <c r="B37" s="5">
        <v>26</v>
      </c>
      <c r="C37" s="271" t="s">
        <v>34</v>
      </c>
      <c r="D37" s="406">
        <f>54850+355340</f>
        <v>410190</v>
      </c>
      <c r="E37" s="407">
        <f>56300+350083</f>
        <v>406383</v>
      </c>
      <c r="F37" s="407">
        <f>55652+981080</f>
        <v>1036732</v>
      </c>
      <c r="G37" s="407">
        <v>1062829</v>
      </c>
      <c r="H37" s="408">
        <v>1063484</v>
      </c>
      <c r="I37" s="407">
        <v>1042469</v>
      </c>
      <c r="J37" s="409">
        <v>1068493</v>
      </c>
      <c r="K37" s="221"/>
      <c r="L37" s="234">
        <f t="shared" si="15"/>
        <v>212883.3368797455</v>
      </c>
      <c r="M37" s="235">
        <f t="shared" si="16"/>
        <v>169859.89316435801</v>
      </c>
      <c r="N37" s="235">
        <f t="shared" si="17"/>
        <v>329176.6551197503</v>
      </c>
      <c r="O37" s="235">
        <f t="shared" si="18"/>
        <v>354192.50777316035</v>
      </c>
      <c r="P37" s="236">
        <f t="shared" si="19"/>
        <v>356395.44235924934</v>
      </c>
      <c r="Q37" s="235">
        <f t="shared" si="20"/>
        <v>320784.36802830989</v>
      </c>
      <c r="R37" s="237">
        <f t="shared" si="21"/>
        <v>326044.35574922035</v>
      </c>
    </row>
    <row r="38" spans="2:18" x14ac:dyDescent="0.25">
      <c r="B38" s="5">
        <v>27</v>
      </c>
      <c r="C38" s="238" t="s">
        <v>35</v>
      </c>
      <c r="D38" s="410">
        <f>3166+17298+801</f>
        <v>21265</v>
      </c>
      <c r="E38" s="411">
        <f>13049+14858+1204</f>
        <v>29111</v>
      </c>
      <c r="F38" s="411">
        <f>8066+1058+6278+664+10737</f>
        <v>26803</v>
      </c>
      <c r="G38" s="411">
        <v>35610</v>
      </c>
      <c r="H38" s="412">
        <v>44513</v>
      </c>
      <c r="I38" s="411">
        <v>15134</v>
      </c>
      <c r="J38" s="413">
        <v>34207</v>
      </c>
      <c r="K38" s="221"/>
      <c r="L38" s="239">
        <f t="shared" si="15"/>
        <v>11036.261631799382</v>
      </c>
      <c r="M38" s="240">
        <f t="shared" si="16"/>
        <v>12167.81053810722</v>
      </c>
      <c r="N38" s="240">
        <f t="shared" si="17"/>
        <v>8510.3207841319345</v>
      </c>
      <c r="O38" s="240">
        <f t="shared" si="18"/>
        <v>11867.191431361245</v>
      </c>
      <c r="P38" s="241">
        <f t="shared" si="19"/>
        <v>14917.225201072386</v>
      </c>
      <c r="Q38" s="240">
        <f t="shared" si="20"/>
        <v>4656.9736133548731</v>
      </c>
      <c r="R38" s="242">
        <f t="shared" si="21"/>
        <v>10438.064898051351</v>
      </c>
    </row>
    <row r="39" spans="2:18" x14ac:dyDescent="0.25">
      <c r="B39" s="5">
        <v>28</v>
      </c>
      <c r="C39" s="272" t="s">
        <v>36</v>
      </c>
      <c r="D39" s="410">
        <v>1083326</v>
      </c>
      <c r="E39" s="411">
        <v>1060937</v>
      </c>
      <c r="F39" s="411">
        <v>0</v>
      </c>
      <c r="G39" s="411">
        <v>786</v>
      </c>
      <c r="H39" s="412">
        <v>644</v>
      </c>
      <c r="I39" s="411">
        <v>5743</v>
      </c>
      <c r="J39" s="413">
        <v>7943</v>
      </c>
      <c r="K39" s="221"/>
      <c r="L39" s="239">
        <f t="shared" si="15"/>
        <v>562232.26750673389</v>
      </c>
      <c r="M39" s="240">
        <f t="shared" si="16"/>
        <v>443450.25622162962</v>
      </c>
      <c r="N39" s="240">
        <f t="shared" si="17"/>
        <v>0</v>
      </c>
      <c r="O39" s="240">
        <f t="shared" si="18"/>
        <v>261.9380080047722</v>
      </c>
      <c r="P39" s="241">
        <f t="shared" si="19"/>
        <v>215.8176943699732</v>
      </c>
      <c r="Q39" s="240">
        <f t="shared" si="20"/>
        <v>1767.2128625278867</v>
      </c>
      <c r="R39" s="242">
        <f t="shared" si="21"/>
        <v>2423.7597417260172</v>
      </c>
    </row>
    <row r="40" spans="2:18" x14ac:dyDescent="0.25">
      <c r="B40" s="5">
        <v>29</v>
      </c>
      <c r="C40" s="238" t="s">
        <v>37</v>
      </c>
      <c r="D40" s="410">
        <v>1369</v>
      </c>
      <c r="E40" s="411">
        <v>1455</v>
      </c>
      <c r="F40" s="411">
        <f>124+69463</f>
        <v>69587</v>
      </c>
      <c r="G40" s="411">
        <v>66441</v>
      </c>
      <c r="H40" s="412">
        <v>72605</v>
      </c>
      <c r="I40" s="411">
        <v>79570</v>
      </c>
      <c r="J40" s="413">
        <v>87346</v>
      </c>
      <c r="K40" s="221"/>
      <c r="L40" s="239">
        <f t="shared" si="15"/>
        <v>710.49340107845535</v>
      </c>
      <c r="M40" s="240">
        <f t="shared" si="16"/>
        <v>608.16063800439713</v>
      </c>
      <c r="N40" s="240">
        <f t="shared" si="17"/>
        <v>22094.828653709992</v>
      </c>
      <c r="O40" s="240">
        <f t="shared" si="18"/>
        <v>22141.7597835179</v>
      </c>
      <c r="P40" s="241">
        <f t="shared" si="19"/>
        <v>24331.434316353887</v>
      </c>
      <c r="Q40" s="240">
        <f t="shared" si="20"/>
        <v>24484.960381567813</v>
      </c>
      <c r="R40" s="242">
        <f t="shared" si="21"/>
        <v>26653.118267757862</v>
      </c>
    </row>
    <row r="41" spans="2:18" ht="16.5" thickBot="1" x14ac:dyDescent="0.3">
      <c r="B41" s="5">
        <v>30</v>
      </c>
      <c r="C41" s="243" t="s">
        <v>38</v>
      </c>
      <c r="D41" s="414">
        <v>3845</v>
      </c>
      <c r="E41" s="415">
        <v>3208</v>
      </c>
      <c r="F41" s="415">
        <f>3224+295870</f>
        <v>299094</v>
      </c>
      <c r="G41" s="415">
        <v>331549</v>
      </c>
      <c r="H41" s="416">
        <v>349453</v>
      </c>
      <c r="I41" s="415">
        <v>376167</v>
      </c>
      <c r="J41" s="417">
        <v>401168</v>
      </c>
      <c r="K41" s="221"/>
      <c r="L41" s="244">
        <f t="shared" si="15"/>
        <v>1995.5055713269983</v>
      </c>
      <c r="M41" s="245">
        <f t="shared" si="16"/>
        <v>1340.8792623492138</v>
      </c>
      <c r="N41" s="245">
        <f t="shared" si="17"/>
        <v>94966.454673325992</v>
      </c>
      <c r="O41" s="245">
        <f t="shared" si="18"/>
        <v>110490.18398978907</v>
      </c>
      <c r="P41" s="246">
        <f t="shared" si="19"/>
        <v>117108.91420911528</v>
      </c>
      <c r="Q41" s="245">
        <f t="shared" si="20"/>
        <v>115752.59635356566</v>
      </c>
      <c r="R41" s="247">
        <f t="shared" si="21"/>
        <v>122414.05615872378</v>
      </c>
    </row>
    <row r="42" spans="2:18" ht="17.25" thickTop="1" thickBot="1" x14ac:dyDescent="0.3">
      <c r="B42" s="3">
        <v>31</v>
      </c>
      <c r="C42" s="270" t="s">
        <v>39</v>
      </c>
      <c r="D42" s="248">
        <f>D36+D37+D38+D39+D40+D41</f>
        <v>1930809</v>
      </c>
      <c r="E42" s="249">
        <f t="shared" ref="E42:J42" si="23">E36+E37+E38+E39+E40+E41</f>
        <v>1962278</v>
      </c>
      <c r="F42" s="249">
        <f t="shared" si="23"/>
        <v>1952355</v>
      </c>
      <c r="G42" s="249">
        <f t="shared" si="23"/>
        <v>2062090</v>
      </c>
      <c r="H42" s="250">
        <f t="shared" si="23"/>
        <v>2123831</v>
      </c>
      <c r="I42" s="249">
        <f t="shared" si="23"/>
        <v>2103761</v>
      </c>
      <c r="J42" s="259">
        <f t="shared" si="23"/>
        <v>2247352</v>
      </c>
      <c r="K42" s="221"/>
      <c r="L42" s="248">
        <f t="shared" si="15"/>
        <v>1002065.0498487153</v>
      </c>
      <c r="M42" s="249">
        <f t="shared" si="16"/>
        <v>820192.60510102566</v>
      </c>
      <c r="N42" s="249">
        <f t="shared" si="17"/>
        <v>619899.53865253518</v>
      </c>
      <c r="O42" s="249">
        <f t="shared" si="18"/>
        <v>687200.695835319</v>
      </c>
      <c r="P42" s="250">
        <f t="shared" si="19"/>
        <v>711739.61126005359</v>
      </c>
      <c r="Q42" s="249">
        <f t="shared" si="20"/>
        <v>647360.87391337799</v>
      </c>
      <c r="R42" s="259">
        <f t="shared" si="21"/>
        <v>685766.24739864643</v>
      </c>
    </row>
    <row r="43" spans="2:18" ht="5.0999999999999996" customHeight="1" thickBot="1" x14ac:dyDescent="0.3">
      <c r="C43" s="273"/>
      <c r="D43" s="274"/>
      <c r="E43" s="274"/>
      <c r="F43" s="274"/>
      <c r="G43" s="274"/>
      <c r="H43" s="274"/>
      <c r="I43" s="274"/>
      <c r="J43" s="274"/>
      <c r="K43" s="221"/>
      <c r="L43" s="274"/>
      <c r="M43" s="274"/>
      <c r="N43" s="274"/>
      <c r="O43" s="274"/>
      <c r="P43" s="274"/>
      <c r="Q43" s="274"/>
      <c r="R43" s="274"/>
    </row>
    <row r="44" spans="2:18" ht="16.5" thickBot="1" x14ac:dyDescent="0.3">
      <c r="C44" s="460" t="s">
        <v>40</v>
      </c>
      <c r="D44" s="230"/>
      <c r="E44" s="230"/>
      <c r="F44" s="275"/>
      <c r="G44" s="275"/>
      <c r="H44" s="275"/>
      <c r="I44" s="275"/>
      <c r="J44" s="275"/>
      <c r="K44" s="221"/>
      <c r="L44" s="275"/>
      <c r="M44" s="275"/>
      <c r="N44" s="275"/>
      <c r="O44" s="275"/>
      <c r="P44" s="275"/>
      <c r="Q44" s="275"/>
      <c r="R44" s="275"/>
    </row>
    <row r="45" spans="2:18" x14ac:dyDescent="0.25">
      <c r="B45" s="5">
        <v>32</v>
      </c>
      <c r="C45" s="233" t="s">
        <v>41</v>
      </c>
      <c r="D45" s="422">
        <v>101536</v>
      </c>
      <c r="E45" s="423">
        <v>136442</v>
      </c>
      <c r="F45" s="423">
        <f>105462+35956</f>
        <v>141418</v>
      </c>
      <c r="G45" s="423">
        <v>117477</v>
      </c>
      <c r="H45" s="424">
        <v>127786</v>
      </c>
      <c r="I45" s="423">
        <v>144307</v>
      </c>
      <c r="J45" s="425">
        <v>173364</v>
      </c>
      <c r="K45" s="221"/>
      <c r="L45" s="276">
        <f t="shared" ref="L45:L55" si="24">IF(AND($C$4="en COP a 31 de diciembre",$K$4="en COP a 31 de diciembre"),D45,IF(AND($C$4="en COP a 31 de diciembre",$K$4="en COP miles a 31 de diciembre"),D45/1000,IF(AND($C$4="en COP a 31 de diciembre",$K$4="en COP millones a 31 de diciembre"),D45/1000000,(IF(AND($C$4="en COP a 31 de diciembre",$K$4="en USD a 31 de diciembre"),D45/L$5,IF(AND($C$4="en COP a 31 de diciembre",$K$4="en USD miles a 31 de diciembre"),(D45/L$5)/1000,IF(AND($C$4="en COP a 31 de diciembre",$K$4="en USD millones a 31 de diciembre"),(D45/L$5)/1000000,IF(AND($C$4="en COP miles a 31 de diciembre",$K$4="en COP a 31 de diciembre"),D45/1000,IF(AND($C$4="en COP miles a 31 de diciembre",$K$4="en COP miles a 31 de diciembre"),D45,IF(AND($C$4="en COP miles a 31 de diciembre",$K$4="en COP millones a 31 de diciembre"),D45/1000,IF(AND($C$4="en COP miles a 31 de diciembre",$K$4="en USD a 31 de diciembre"),(D45*1000)/L$5,IF(AND($C$4="en COP miles a 31 de diciembre",$K$4="en USD miles a 31 de diciembre"),D45/L$5,IF(AND($C$4="en COP miles a 31 de diciembre",$K$4="en USD millones a 31 de diciembre"),((D45*1000)/L$5)/1000000,IF(AND($C$4="en COP millones a 31 de diciembre",$K$4="en COP a 31 de diciembre"),D45*1000000,IF(AND($C$4="en COP millones a 31 de diciembre",$K$4="en COP miles a 31 de diciembre"),D45*1000,IF(AND($C$4="en COP millones a 31 de diciembre",$K$4="en COP millones a 31 de diciembre"),D45,IF(AND($C$4="en COP millones a 31 de diciembre",$K$4="en USD a 31 de diciembre"),(D45*1000000)/L$5,IF(AND($C$4="en COP millones a 31 de diciembre",$K$4="en USD miles a 31 de diciembre"),(D45*1000)/L$5,IF(AND($C$4="en COP millones a 31 de diciembre",$K$4="en USD millones a 31 de diciembre"),D45/L$5,IF(AND($C$4="en USD a 31 de diciembre",$K$4="en COP a 31 de diciembre"),D45*L$5,IF(AND($C$4="en USD a 31 de diciembre",$K$4="en COP miles a 31 de diciembre"),(D45*L$5)/1000,IF(AND($C$4="en USD a 31 de diciembre",$K$4="en COP millones a 31 de diciembre"),(D45*L$5)/1000000,IF(AND($C$4="en USD a 31 de diciembre",$K$4="en USD a 31 de diciembre"),D45,IF(AND($C$4="en USD a 31 de diciembre",$K$4="en USD miles a 31 de diciembre"),D45/1000,IF(AND($C$4="en USD a 31 de diciembre",$K$4="en USD millones a 31 de diciembre"),D45/1000000,IF(AND($C$4="en USD miles a 31 de diciembre",$K$4="en COP a 31 de diciembre"),(D45*L$5)*1000,IF(AND($C$4="en USD miles a 31 de diciembre",$K$4="en COP miles a 31 de diciembre"),D45*L$5,IF(AND($C$4="en USD miles a 31 de diciembre",$K$4="en COP millones a 31 de diciembre"),(D45*L$5)/1000,IF(AND($C$4="en USD miles a 31 de diciembre",$K$4="en USD a 31 de diciembre"),D45*1000,IF(AND($C$4="en USD miles a 31 de diciembre",$K$4="en USD miles a 31 de diciembre"),D45,IF(AND($C$4="en USD miles a 31 de diciembre",$K$4="en USD millones a 31 de diciembre"),D45/1000,IF(AND($C$4="en USD millones a 31 de diciembre",$K$4="en USD a 31 de diciembre"),D45*1000000,IF(AND($C$4="en USD millones a 31 de diciembre",$K$4="en USD miles a 31 de diciembre"),D45*1000,IF(AND($C$4="en USD millones a 31 de diciembre",$K$4="en USD millones a 31 de diciembre"),D45,IF(AND($C$4="en USD millones a 31 de diciembre",$K$4="en COP a 31 de diciembre"),(D45*L$5)*1000000,IF(AND($C$4="en USD millones a 31 de diciembre",$K$4="en COP miles a 31 de diciembre"),(D45*L$5)*1000,IF(AND($C$4="en USD millones a 31 de diciembre",$K$4="en COP millones a 31 de diciembre"),D45*L$5)))))))))))))))))))))))))))))))))))))</f>
        <v>52695.878723084032</v>
      </c>
      <c r="M45" s="277">
        <f t="shared" ref="M45:M55" si="25">IF(AND($C$4="en COP a 31 de diciembre",$K$4="en COP a 31 de diciembre"),E45,IF(AND($C$4="en COP a 31 de diciembre",$K$4="en COP miles a 31 de diciembre"),E45/1000,IF(AND($C$4="en COP a 31 de diciembre",$K$4="en COP millones a 31 de diciembre"),E45/1000000,(IF(AND($C$4="en COP a 31 de diciembre",$K$4="en USD a 31 de diciembre"),E45/M$5,IF(AND($C$4="en COP a 31 de diciembre",$K$4="en USD miles a 31 de diciembre"),(E45/M$5)/1000,IF(AND($C$4="en COP a 31 de diciembre",$K$4="en USD millones a 31 de diciembre"),(E45/M$5)/1000000,IF(AND($C$4="en COP miles a 31 de diciembre",$K$4="en COP a 31 de diciembre"),E45/1000,IF(AND($C$4="en COP miles a 31 de diciembre",$K$4="en COP miles a 31 de diciembre"),E45,IF(AND($C$4="en COP miles a 31 de diciembre",$K$4="en COP millones a 31 de diciembre"),E45/1000,IF(AND($C$4="en COP miles a 31 de diciembre",$K$4="en USD a 31 de diciembre"),(E45*1000)/M$5,IF(AND($C$4="en COP miles a 31 de diciembre",$K$4="en USD miles a 31 de diciembre"),E45/M$5,IF(AND($C$4="en COP miles a 31 de diciembre",$K$4="en USD millones a 31 de diciembre"),((E45*1000)/M$5)/1000000,IF(AND($C$4="en COP millones a 31 de diciembre",$K$4="en COP a 31 de diciembre"),E45*1000000,IF(AND($C$4="en COP millones a 31 de diciembre",$K$4="en COP miles a 31 de diciembre"),E45*1000,IF(AND($C$4="en COP millones a 31 de diciembre",$K$4="en COP millones a 31 de diciembre"),E45,IF(AND($C$4="en COP millones a 31 de diciembre",$K$4="en USD a 31 de diciembre"),(E45*1000000)/M$5,IF(AND($C$4="en COP millones a 31 de diciembre",$K$4="en USD miles a 31 de diciembre"),(E45*1000)/M$5,IF(AND($C$4="en COP millones a 31 de diciembre",$K$4="en USD millones a 31 de diciembre"),E45/M$5,IF(AND($C$4="en USD a 31 de diciembre",$K$4="en COP a 31 de diciembre"),E45*M$5,IF(AND($C$4="en USD a 31 de diciembre",$K$4="en COP miles a 31 de diciembre"),(E45*M$5)/1000,IF(AND($C$4="en USD a 31 de diciembre",$K$4="en COP millones a 31 de diciembre"),(E45*M$5)/1000000,IF(AND($C$4="en USD a 31 de diciembre",$K$4="en USD a 31 de diciembre"),E45,IF(AND($C$4="en USD a 31 de diciembre",$K$4="en USD miles a 31 de diciembre"),E45/1000,IF(AND($C$4="en USD a 31 de diciembre",$K$4="en USD millones a 31 de diciembre"),E45/1000000,IF(AND($C$4="en USD miles a 31 de diciembre",$K$4="en COP a 31 de diciembre"),(E45*M$5)*1000,IF(AND($C$4="en USD miles a 31 de diciembre",$K$4="en COP miles a 31 de diciembre"),E45*M$5,IF(AND($C$4="en USD miles a 31 de diciembre",$K$4="en COP millones a 31 de diciembre"),(E45*M$5)/1000,IF(AND($C$4="en USD miles a 31 de diciembre",$K$4="en USD a 31 de diciembre"),E45*1000,IF(AND($C$4="en USD miles a 31 de diciembre",$K$4="en USD miles a 31 de diciembre"),E45,IF(AND($C$4="en USD miles a 31 de diciembre",$K$4="en USD millones a 31 de diciembre"),E45/1000,IF(AND($C$4="en USD millones a 31 de diciembre",$K$4="en USD a 31 de diciembre"),E45*1000000,IF(AND($C$4="en USD millones a 31 de diciembre",$K$4="en USD miles a 31 de diciembre"),E45*1000,IF(AND($C$4="en USD millones a 31 de diciembre",$K$4="en USD millones a 31 de diciembre"),E45,IF(AND($C$4="en USD millones a 31 de diciembre",$K$4="en COP a 31 de diciembre"),(E45*M$5)*1000000,IF(AND($C$4="en USD millones a 31 de diciembre",$K$4="en COP miles a 31 de diciembre"),(E45*M$5)*1000,IF(AND($C$4="en USD millones a 31 de diciembre",$K$4="en COP millones a 31 de diciembre"),E45*M$5)))))))))))))))))))))))))))))))))))))</f>
        <v>57030.002591474884</v>
      </c>
      <c r="N45" s="277">
        <f t="shared" ref="N45:N55" si="26">IF(AND($C$4="en COP a 31 de diciembre",$K$4="en COP a 31 de diciembre"),F45,IF(AND($C$4="en COP a 31 de diciembre",$K$4="en COP miles a 31 de diciembre"),F45/1000,IF(AND($C$4="en COP a 31 de diciembre",$K$4="en COP millones a 31 de diciembre"),F45/1000000,(IF(AND($C$4="en COP a 31 de diciembre",$K$4="en USD a 31 de diciembre"),F45/N$5,IF(AND($C$4="en COP a 31 de diciembre",$K$4="en USD miles a 31 de diciembre"),(F45/N$5)/1000,IF(AND($C$4="en COP a 31 de diciembre",$K$4="en USD millones a 31 de diciembre"),(F45/N$5)/1000000,IF(AND($C$4="en COP miles a 31 de diciembre",$K$4="en COP a 31 de diciembre"),F45/1000,IF(AND($C$4="en COP miles a 31 de diciembre",$K$4="en COP miles a 31 de diciembre"),F45,IF(AND($C$4="en COP miles a 31 de diciembre",$K$4="en COP millones a 31 de diciembre"),F45/1000,IF(AND($C$4="en COP miles a 31 de diciembre",$K$4="en USD a 31 de diciembre"),(F45*1000)/N$5,IF(AND($C$4="en COP miles a 31 de diciembre",$K$4="en USD miles a 31 de diciembre"),F45/N$5,IF(AND($C$4="en COP miles a 31 de diciembre",$K$4="en USD millones a 31 de diciembre"),((F45*1000)/N$5)/1000000,IF(AND($C$4="en COP millones a 31 de diciembre",$K$4="en COP a 31 de diciembre"),F45*1000000,IF(AND($C$4="en COP millones a 31 de diciembre",$K$4="en COP miles a 31 de diciembre"),F45*1000,IF(AND($C$4="en COP millones a 31 de diciembre",$K$4="en COP millones a 31 de diciembre"),F45,IF(AND($C$4="en COP millones a 31 de diciembre",$K$4="en USD a 31 de diciembre"),(F45*1000000)/N$5,IF(AND($C$4="en COP millones a 31 de diciembre",$K$4="en USD miles a 31 de diciembre"),(F45*1000)/N$5,IF(AND($C$4="en COP millones a 31 de diciembre",$K$4="en USD millones a 31 de diciembre"),F45/N$5,IF(AND($C$4="en USD a 31 de diciembre",$K$4="en COP a 31 de diciembre"),F45*N$5,IF(AND($C$4="en USD a 31 de diciembre",$K$4="en COP miles a 31 de diciembre"),(F45*N$5)/1000,IF(AND($C$4="en USD a 31 de diciembre",$K$4="en COP millones a 31 de diciembre"),(F45*N$5)/1000000,IF(AND($C$4="en USD a 31 de diciembre",$K$4="en USD a 31 de diciembre"),F45,IF(AND($C$4="en USD a 31 de diciembre",$K$4="en USD miles a 31 de diciembre"),F45/1000,IF(AND($C$4="en USD a 31 de diciembre",$K$4="en USD millones a 31 de diciembre"),F45/1000000,IF(AND($C$4="en USD miles a 31 de diciembre",$K$4="en COP a 31 de diciembre"),(F45*N$5)*1000,IF(AND($C$4="en USD miles a 31 de diciembre",$K$4="en COP miles a 31 de diciembre"),F45*N$5,IF(AND($C$4="en USD miles a 31 de diciembre",$K$4="en COP millones a 31 de diciembre"),(F45*N$5)/1000,IF(AND($C$4="en USD miles a 31 de diciembre",$K$4="en USD a 31 de diciembre"),F45*1000,IF(AND($C$4="en USD miles a 31 de diciembre",$K$4="en USD miles a 31 de diciembre"),F45,IF(AND($C$4="en USD miles a 31 de diciembre",$K$4="en USD millones a 31 de diciembre"),F45/1000,IF(AND($C$4="en USD millones a 31 de diciembre",$K$4="en USD a 31 de diciembre"),F45*1000000,IF(AND($C$4="en USD millones a 31 de diciembre",$K$4="en USD miles a 31 de diciembre"),F45*1000,IF(AND($C$4="en USD millones a 31 de diciembre",$K$4="en USD millones a 31 de diciembre"),F45,IF(AND($C$4="en USD millones a 31 de diciembre",$K$4="en COP a 31 de diciembre"),(F45*N$5)*1000000,IF(AND($C$4="en USD millones a 31 de diciembre",$K$4="en COP miles a 31 de diciembre"),(F45*N$5)*1000,IF(AND($C$4="en USD millones a 31 de diciembre",$K$4="en COP millones a 31 de diciembre"),F45*N$5)))))))))))))))))))))))))))))))))))))</f>
        <v>44902.158140893553</v>
      </c>
      <c r="O45" s="277">
        <f t="shared" ref="O45:O55" si="27">IF(AND($C$4="en COP a 31 de diciembre",$K$4="en COP a 31 de diciembre"),G45,IF(AND($C$4="en COP a 31 de diciembre",$K$4="en COP miles a 31 de diciembre"),G45/1000,IF(AND($C$4="en COP a 31 de diciembre",$K$4="en COP millones a 31 de diciembre"),G45/1000000,(IF(AND($C$4="en COP a 31 de diciembre",$K$4="en USD a 31 de diciembre"),G45/O$5,IF(AND($C$4="en COP a 31 de diciembre",$K$4="en USD miles a 31 de diciembre"),(G45/O$5)/1000,IF(AND($C$4="en COP a 31 de diciembre",$K$4="en USD millones a 31 de diciembre"),(G45/O$5)/1000000,IF(AND($C$4="en COP miles a 31 de diciembre",$K$4="en COP a 31 de diciembre"),G45/1000,IF(AND($C$4="en COP miles a 31 de diciembre",$K$4="en COP miles a 31 de diciembre"),G45,IF(AND($C$4="en COP miles a 31 de diciembre",$K$4="en COP millones a 31 de diciembre"),G45/1000,IF(AND($C$4="en COP miles a 31 de diciembre",$K$4="en USD a 31 de diciembre"),(G45*1000)/O$5,IF(AND($C$4="en COP miles a 31 de diciembre",$K$4="en USD miles a 31 de diciembre"),G45/O$5,IF(AND($C$4="en COP miles a 31 de diciembre",$K$4="en USD millones a 31 de diciembre"),((G45*1000)/O$5)/1000000,IF(AND($C$4="en COP millones a 31 de diciembre",$K$4="en COP a 31 de diciembre"),G45*1000000,IF(AND($C$4="en COP millones a 31 de diciembre",$K$4="en COP miles a 31 de diciembre"),G45*1000,IF(AND($C$4="en COP millones a 31 de diciembre",$K$4="en COP millones a 31 de diciembre"),G45,IF(AND($C$4="en COP millones a 31 de diciembre",$K$4="en USD a 31 de diciembre"),(G45*1000000)/O$5,IF(AND($C$4="en COP millones a 31 de diciembre",$K$4="en USD miles a 31 de diciembre"),(G45*1000)/O$5,IF(AND($C$4="en COP millones a 31 de diciembre",$K$4="en USD millones a 31 de diciembre"),G45/O$5,IF(AND($C$4="en USD a 31 de diciembre",$K$4="en COP a 31 de diciembre"),G45*O$5,IF(AND($C$4="en USD a 31 de diciembre",$K$4="en COP miles a 31 de diciembre"),(G45*O$5)/1000,IF(AND($C$4="en USD a 31 de diciembre",$K$4="en COP millones a 31 de diciembre"),(G45*O$5)/1000000,IF(AND($C$4="en USD a 31 de diciembre",$K$4="en USD a 31 de diciembre"),G45,IF(AND($C$4="en USD a 31 de diciembre",$K$4="en USD miles a 31 de diciembre"),G45/1000,IF(AND($C$4="en USD a 31 de diciembre",$K$4="en USD millones a 31 de diciembre"),G45/1000000,IF(AND($C$4="en USD miles a 31 de diciembre",$K$4="en COP a 31 de diciembre"),(G45*O$5)*1000,IF(AND($C$4="en USD miles a 31 de diciembre",$K$4="en COP miles a 31 de diciembre"),G45*O$5,IF(AND($C$4="en USD miles a 31 de diciembre",$K$4="en COP millones a 31 de diciembre"),(G45*O$5)/1000,IF(AND($C$4="en USD miles a 31 de diciembre",$K$4="en USD a 31 de diciembre"),G45*1000,IF(AND($C$4="en USD miles a 31 de diciembre",$K$4="en USD miles a 31 de diciembre"),G45,IF(AND($C$4="en USD miles a 31 de diciembre",$K$4="en USD millones a 31 de diciembre"),G45/1000,IF(AND($C$4="en USD millones a 31 de diciembre",$K$4="en USD a 31 de diciembre"),G45*1000000,IF(AND($C$4="en USD millones a 31 de diciembre",$K$4="en USD miles a 31 de diciembre"),G45*1000,IF(AND($C$4="en USD millones a 31 de diciembre",$K$4="en USD millones a 31 de diciembre"),G45,IF(AND($C$4="en USD millones a 31 de diciembre",$K$4="en COP a 31 de diciembre"),(G45*O$5)*1000000,IF(AND($C$4="en USD millones a 31 de diciembre",$K$4="en COP miles a 31 de diciembre"),(G45*O$5)*1000,IF(AND($C$4="en USD millones a 31 de diciembre",$K$4="en COP millones a 31 de diciembre"),G45*O$5)))))))))))))))))))))))))))))))))))))</f>
        <v>39149.734562820129</v>
      </c>
      <c r="P45" s="278">
        <f t="shared" ref="P45:P55" si="28">IF(AND($C$4="en COP a 31 de diciembre",$K$4="en COP a 31 de diciembre"),H45,IF(AND($C$4="en COP a 31 de diciembre",$K$4="en COP miles a 31 de diciembre"),H45/1000,IF(AND($C$4="en COP a 31 de diciembre",$K$4="en COP millones a 31 de diciembre"),H45/1000000,(IF(AND($C$4="en COP a 31 de diciembre",$K$4="en USD a 31 de diciembre"),H45/P$5,IF(AND($C$4="en COP a 31 de diciembre",$K$4="en USD miles a 31 de diciembre"),(H45/P$5)/1000,IF(AND($C$4="en COP a 31 de diciembre",$K$4="en USD millones a 31 de diciembre"),(H45/P$5)/1000000,IF(AND($C$4="en COP miles a 31 de diciembre",$K$4="en COP a 31 de diciembre"),H45/1000,IF(AND($C$4="en COP miles a 31 de diciembre",$K$4="en COP miles a 31 de diciembre"),H45,IF(AND($C$4="en COP miles a 31 de diciembre",$K$4="en COP millones a 31 de diciembre"),H45/1000,IF(AND($C$4="en COP miles a 31 de diciembre",$K$4="en USD a 31 de diciembre"),(H45*1000)/P$5,IF(AND($C$4="en COP miles a 31 de diciembre",$K$4="en USD miles a 31 de diciembre"),H45/P$5,IF(AND($C$4="en COP miles a 31 de diciembre",$K$4="en USD millones a 31 de diciembre"),((H45*1000)/P$5)/1000000,IF(AND($C$4="en COP millones a 31 de diciembre",$K$4="en COP a 31 de diciembre"),H45*1000000,IF(AND($C$4="en COP millones a 31 de diciembre",$K$4="en COP miles a 31 de diciembre"),H45*1000,IF(AND($C$4="en COP millones a 31 de diciembre",$K$4="en COP millones a 31 de diciembre"),H45,IF(AND($C$4="en COP millones a 31 de diciembre",$K$4="en USD a 31 de diciembre"),(H45*1000000)/P$5,IF(AND($C$4="en COP millones a 31 de diciembre",$K$4="en USD miles a 31 de diciembre"),(H45*1000)/P$5,IF(AND($C$4="en COP millones a 31 de diciembre",$K$4="en USD millones a 31 de diciembre"),H45/P$5,IF(AND($C$4="en USD a 31 de diciembre",$K$4="en COP a 31 de diciembre"),H45*P$5,IF(AND($C$4="en USD a 31 de diciembre",$K$4="en COP miles a 31 de diciembre"),(H45*P$5)/1000,IF(AND($C$4="en USD a 31 de diciembre",$K$4="en COP millones a 31 de diciembre"),(H45*P$5)/1000000,IF(AND($C$4="en USD a 31 de diciembre",$K$4="en USD a 31 de diciembre"),H45,IF(AND($C$4="en USD a 31 de diciembre",$K$4="en USD miles a 31 de diciembre"),H45/1000,IF(AND($C$4="en USD a 31 de diciembre",$K$4="en USD millones a 31 de diciembre"),H45/1000000,IF(AND($C$4="en USD miles a 31 de diciembre",$K$4="en COP a 31 de diciembre"),(H45*P$5)*1000,IF(AND($C$4="en USD miles a 31 de diciembre",$K$4="en COP miles a 31 de diciembre"),H45*P$5,IF(AND($C$4="en USD miles a 31 de diciembre",$K$4="en COP millones a 31 de diciembre"),(H45*P$5)/1000,IF(AND($C$4="en USD miles a 31 de diciembre",$K$4="en USD a 31 de diciembre"),H45*1000,IF(AND($C$4="en USD miles a 31 de diciembre",$K$4="en USD miles a 31 de diciembre"),H45,IF(AND($C$4="en USD miles a 31 de diciembre",$K$4="en USD millones a 31 de diciembre"),H45/1000,IF(AND($C$4="en USD millones a 31 de diciembre",$K$4="en USD a 31 de diciembre"),H45*1000000,IF(AND($C$4="en USD millones a 31 de diciembre",$K$4="en USD miles a 31 de diciembre"),H45*1000,IF(AND($C$4="en USD millones a 31 de diciembre",$K$4="en USD millones a 31 de diciembre"),H45,IF(AND($C$4="en USD millones a 31 de diciembre",$K$4="en COP a 31 de diciembre"),(H45*P$5)*1000000,IF(AND($C$4="en USD millones a 31 de diciembre",$K$4="en COP miles a 31 de diciembre"),(H45*P$5)*1000,IF(AND($C$4="en USD millones a 31 de diciembre",$K$4="en COP millones a 31 de diciembre"),H45*P$5)))))))))))))))))))))))))))))))))))))</f>
        <v>42823.726541554963</v>
      </c>
      <c r="Q45" s="277">
        <f t="shared" ref="Q45:Q55" si="29">IF(AND($C$4="en COP a 31 de diciembre",$K$4="en COP a 31 de diciembre"),I45,IF(AND($C$4="en COP a 31 de diciembre",$K$4="en COP miles a 31 de diciembre"),I45/1000,IF(AND($C$4="en COP a 31 de diciembre",$K$4="en COP millones a 31 de diciembre"),I45/1000000,(IF(AND($C$4="en COP a 31 de diciembre",$K$4="en USD a 31 de diciembre"),I45/Q$5,IF(AND($C$4="en COP a 31 de diciembre",$K$4="en USD miles a 31 de diciembre"),(I45/Q$5)/1000,IF(AND($C$4="en COP a 31 de diciembre",$K$4="en USD millones a 31 de diciembre"),(I45/Q$5)/1000000,IF(AND($C$4="en COP miles a 31 de diciembre",$K$4="en COP a 31 de diciembre"),I45/1000,IF(AND($C$4="en COP miles a 31 de diciembre",$K$4="en COP miles a 31 de diciembre"),I45,IF(AND($C$4="en COP miles a 31 de diciembre",$K$4="en COP millones a 31 de diciembre"),I45/1000,IF(AND($C$4="en COP miles a 31 de diciembre",$K$4="en USD a 31 de diciembre"),(I45*1000)/Q$5,IF(AND($C$4="en COP miles a 31 de diciembre",$K$4="en USD miles a 31 de diciembre"),I45/Q$5,IF(AND($C$4="en COP miles a 31 de diciembre",$K$4="en USD millones a 31 de diciembre"),((I45*1000)/Q$5)/1000000,IF(AND($C$4="en COP millones a 31 de diciembre",$K$4="en COP a 31 de diciembre"),I45*1000000,IF(AND($C$4="en COP millones a 31 de diciembre",$K$4="en COP miles a 31 de diciembre"),I45*1000,IF(AND($C$4="en COP millones a 31 de diciembre",$K$4="en COP millones a 31 de diciembre"),I45,IF(AND($C$4="en COP millones a 31 de diciembre",$K$4="en USD a 31 de diciembre"),(I45*1000000)/Q$5,IF(AND($C$4="en COP millones a 31 de diciembre",$K$4="en USD miles a 31 de diciembre"),(I45*1000)/Q$5,IF(AND($C$4="en COP millones a 31 de diciembre",$K$4="en USD millones a 31 de diciembre"),I45/Q$5,IF(AND($C$4="en USD a 31 de diciembre",$K$4="en COP a 31 de diciembre"),I45*Q$5,IF(AND($C$4="en USD a 31 de diciembre",$K$4="en COP miles a 31 de diciembre"),(I45*Q$5)/1000,IF(AND($C$4="en USD a 31 de diciembre",$K$4="en COP millones a 31 de diciembre"),(I45*Q$5)/1000000,IF(AND($C$4="en USD a 31 de diciembre",$K$4="en USD a 31 de diciembre"),I45,IF(AND($C$4="en USD a 31 de diciembre",$K$4="en USD miles a 31 de diciembre"),I45/1000,IF(AND($C$4="en USD a 31 de diciembre",$K$4="en USD millones a 31 de diciembre"),I45/1000000,IF(AND($C$4="en USD miles a 31 de diciembre",$K$4="en COP a 31 de diciembre"),(I45*Q$5)*1000,IF(AND($C$4="en USD miles a 31 de diciembre",$K$4="en COP miles a 31 de diciembre"),I45*Q$5,IF(AND($C$4="en USD miles a 31 de diciembre",$K$4="en COP millones a 31 de diciembre"),(I45*Q$5)/1000,IF(AND($C$4="en USD miles a 31 de diciembre",$K$4="en USD a 31 de diciembre"),I45*1000,IF(AND($C$4="en USD miles a 31 de diciembre",$K$4="en USD miles a 31 de diciembre"),I45,IF(AND($C$4="en USD miles a 31 de diciembre",$K$4="en USD millones a 31 de diciembre"),I45/1000,IF(AND($C$4="en USD millones a 31 de diciembre",$K$4="en USD a 31 de diciembre"),I45*1000000,IF(AND($C$4="en USD millones a 31 de diciembre",$K$4="en USD miles a 31 de diciembre"),I45*1000,IF(AND($C$4="en USD millones a 31 de diciembre",$K$4="en USD millones a 31 de diciembre"),I45,IF(AND($C$4="en USD millones a 31 de diciembre",$K$4="en COP a 31 de diciembre"),(I45*Q$5)*1000000,IF(AND($C$4="en USD millones a 31 de diciembre",$K$4="en COP miles a 31 de diciembre"),(I45*Q$5)*1000,IF(AND($C$4="en USD millones a 31 de diciembre",$K$4="en COP millones a 31 de diciembre"),I45*Q$5)))))))))))))))))))))))))))))))))))))</f>
        <v>44405.569659204557</v>
      </c>
      <c r="R45" s="279">
        <f t="shared" ref="R45:R55" si="30">IF(AND($C$4="en COP a 31 de diciembre",$K$4="en COP a 31 de diciembre"),J45,IF(AND($C$4="en COP a 31 de diciembre",$K$4="en COP miles a 31 de diciembre"),J45/1000,IF(AND($C$4="en COP a 31 de diciembre",$K$4="en COP millones a 31 de diciembre"),J45/1000000,(IF(AND($C$4="en COP a 31 de diciembre",$K$4="en USD a 31 de diciembre"),J45/R$5,IF(AND($C$4="en COP a 31 de diciembre",$K$4="en USD miles a 31 de diciembre"),(J45/R$5)/1000,IF(AND($C$4="en COP a 31 de diciembre",$K$4="en USD millones a 31 de diciembre"),(J45/R$5)/1000000,IF(AND($C$4="en COP miles a 31 de diciembre",$K$4="en COP a 31 de diciembre"),J45/1000,IF(AND($C$4="en COP miles a 31 de diciembre",$K$4="en COP miles a 31 de diciembre"),J45,IF(AND($C$4="en COP miles a 31 de diciembre",$K$4="en COP millones a 31 de diciembre"),J45/1000,IF(AND($C$4="en COP miles a 31 de diciembre",$K$4="en USD a 31 de diciembre"),(J45*1000)/R$5,IF(AND($C$4="en COP miles a 31 de diciembre",$K$4="en USD miles a 31 de diciembre"),J45/R$5,IF(AND($C$4="en COP miles a 31 de diciembre",$K$4="en USD millones a 31 de diciembre"),((J45*1000)/R$5)/1000000,IF(AND($C$4="en COP millones a 31 de diciembre",$K$4="en COP a 31 de diciembre"),J45*1000000,IF(AND($C$4="en COP millones a 31 de diciembre",$K$4="en COP miles a 31 de diciembre"),J45*1000,IF(AND($C$4="en COP millones a 31 de diciembre",$K$4="en COP millones a 31 de diciembre"),J45,IF(AND($C$4="en COP millones a 31 de diciembre",$K$4="en USD a 31 de diciembre"),(J45*1000000)/R$5,IF(AND($C$4="en COP millones a 31 de diciembre",$K$4="en USD miles a 31 de diciembre"),(J45*1000)/R$5,IF(AND($C$4="en COP millones a 31 de diciembre",$K$4="en USD millones a 31 de diciembre"),J45/R$5,IF(AND($C$4="en USD a 31 de diciembre",$K$4="en COP a 31 de diciembre"),J45*R$5,IF(AND($C$4="en USD a 31 de diciembre",$K$4="en COP miles a 31 de diciembre"),(J45*R$5)/1000,IF(AND($C$4="en USD a 31 de diciembre",$K$4="en COP millones a 31 de diciembre"),(J45*R$5)/1000000,IF(AND($C$4="en USD a 31 de diciembre",$K$4="en USD a 31 de diciembre"),J45,IF(AND($C$4="en USD a 31 de diciembre",$K$4="en USD miles a 31 de diciembre"),J45/1000,IF(AND($C$4="en USD a 31 de diciembre",$K$4="en USD millones a 31 de diciembre"),J45/1000000,IF(AND($C$4="en USD miles a 31 de diciembre",$K$4="en COP a 31 de diciembre"),(J45*R$5)*1000,IF(AND($C$4="en USD miles a 31 de diciembre",$K$4="en COP miles a 31 de diciembre"),J45*R$5,IF(AND($C$4="en USD miles a 31 de diciembre",$K$4="en COP millones a 31 de diciembre"),(J45*R$5)/1000,IF(AND($C$4="en USD miles a 31 de diciembre",$K$4="en USD a 31 de diciembre"),J45*1000,IF(AND($C$4="en USD miles a 31 de diciembre",$K$4="en USD miles a 31 de diciembre"),J45,IF(AND($C$4="en USD miles a 31 de diciembre",$K$4="en USD millones a 31 de diciembre"),J45/1000,IF(AND($C$4="en USD millones a 31 de diciembre",$K$4="en USD a 31 de diciembre"),J45*1000000,IF(AND($C$4="en USD millones a 31 de diciembre",$K$4="en USD miles a 31 de diciembre"),J45*1000,IF(AND($C$4="en USD millones a 31 de diciembre",$K$4="en USD millones a 31 de diciembre"),J45,IF(AND($C$4="en USD millones a 31 de diciembre",$K$4="en COP a 31 de diciembre"),(J45*R$5)*1000000,IF(AND($C$4="en USD millones a 31 de diciembre",$K$4="en COP miles a 31 de diciembre"),(J45*R$5)*1000,IF(AND($C$4="en USD millones a 31 de diciembre",$K$4="en COP millones a 31 de diciembre"),J45*R$5)))))))))))))))))))))))))))))))))))))</f>
        <v>52901.005144729861</v>
      </c>
    </row>
    <row r="46" spans="2:18" x14ac:dyDescent="0.25">
      <c r="B46" s="5">
        <v>33</v>
      </c>
      <c r="C46" s="238" t="s">
        <v>42</v>
      </c>
      <c r="D46" s="426">
        <v>91755</v>
      </c>
      <c r="E46" s="427">
        <v>78292</v>
      </c>
      <c r="F46" s="427">
        <v>124120</v>
      </c>
      <c r="G46" s="427">
        <v>185879</v>
      </c>
      <c r="H46" s="428">
        <v>207314</v>
      </c>
      <c r="I46" s="427">
        <v>109818</v>
      </c>
      <c r="J46" s="429">
        <v>158684</v>
      </c>
      <c r="K46" s="221"/>
      <c r="L46" s="280">
        <f t="shared" si="24"/>
        <v>47619.665460886536</v>
      </c>
      <c r="M46" s="281">
        <f t="shared" si="25"/>
        <v>32724.476062295711</v>
      </c>
      <c r="N46" s="281">
        <f t="shared" si="26"/>
        <v>39409.805459331255</v>
      </c>
      <c r="O46" s="281">
        <f t="shared" si="27"/>
        <v>61945.006348497518</v>
      </c>
      <c r="P46" s="282">
        <f t="shared" si="28"/>
        <v>69475.201072386059</v>
      </c>
      <c r="Q46" s="281">
        <f t="shared" si="29"/>
        <v>33792.753288714513</v>
      </c>
      <c r="R46" s="283">
        <f t="shared" si="30"/>
        <v>48421.489469476437</v>
      </c>
    </row>
    <row r="47" spans="2:18" x14ac:dyDescent="0.25">
      <c r="B47" s="5">
        <v>34</v>
      </c>
      <c r="C47" s="238" t="s">
        <v>43</v>
      </c>
      <c r="D47" s="426">
        <v>0</v>
      </c>
      <c r="E47" s="427">
        <v>0</v>
      </c>
      <c r="F47" s="427">
        <v>0</v>
      </c>
      <c r="G47" s="427">
        <v>0</v>
      </c>
      <c r="H47" s="428">
        <v>0</v>
      </c>
      <c r="I47" s="427">
        <v>0</v>
      </c>
      <c r="J47" s="429">
        <v>0</v>
      </c>
      <c r="K47" s="221"/>
      <c r="L47" s="280">
        <f t="shared" si="24"/>
        <v>0</v>
      </c>
      <c r="M47" s="281">
        <f t="shared" si="25"/>
        <v>0</v>
      </c>
      <c r="N47" s="281">
        <f t="shared" si="26"/>
        <v>0</v>
      </c>
      <c r="O47" s="281">
        <f t="shared" si="27"/>
        <v>0</v>
      </c>
      <c r="P47" s="282">
        <f t="shared" si="28"/>
        <v>0</v>
      </c>
      <c r="Q47" s="281">
        <f t="shared" si="29"/>
        <v>0</v>
      </c>
      <c r="R47" s="283">
        <f t="shared" si="30"/>
        <v>0</v>
      </c>
    </row>
    <row r="48" spans="2:18" x14ac:dyDescent="0.25">
      <c r="B48" s="5">
        <v>35</v>
      </c>
      <c r="C48" s="238" t="s">
        <v>44</v>
      </c>
      <c r="D48" s="426">
        <v>0</v>
      </c>
      <c r="E48" s="427">
        <v>0</v>
      </c>
      <c r="F48" s="427">
        <v>692</v>
      </c>
      <c r="G48" s="427">
        <v>765</v>
      </c>
      <c r="H48" s="428">
        <v>798</v>
      </c>
      <c r="I48" s="427">
        <v>842</v>
      </c>
      <c r="J48" s="429">
        <v>0</v>
      </c>
      <c r="K48" s="221"/>
      <c r="L48" s="280">
        <f t="shared" si="24"/>
        <v>0</v>
      </c>
      <c r="M48" s="281">
        <f t="shared" si="25"/>
        <v>0</v>
      </c>
      <c r="N48" s="281">
        <f t="shared" si="26"/>
        <v>219.71950836172437</v>
      </c>
      <c r="O48" s="281">
        <f t="shared" si="27"/>
        <v>254.93966427945386</v>
      </c>
      <c r="P48" s="282">
        <f t="shared" si="28"/>
        <v>267.42627345844505</v>
      </c>
      <c r="Q48" s="281">
        <f t="shared" si="29"/>
        <v>259.0968536041234</v>
      </c>
      <c r="R48" s="283">
        <f t="shared" si="30"/>
        <v>0</v>
      </c>
    </row>
    <row r="49" spans="2:18" x14ac:dyDescent="0.25">
      <c r="B49" s="5">
        <v>36</v>
      </c>
      <c r="C49" s="238" t="s">
        <v>45</v>
      </c>
      <c r="D49" s="426">
        <v>0</v>
      </c>
      <c r="E49" s="427">
        <v>0</v>
      </c>
      <c r="F49" s="427">
        <v>0</v>
      </c>
      <c r="G49" s="427">
        <v>0</v>
      </c>
      <c r="H49" s="428">
        <v>0</v>
      </c>
      <c r="I49" s="427">
        <v>1246</v>
      </c>
      <c r="J49" s="429">
        <v>811</v>
      </c>
      <c r="K49" s="221"/>
      <c r="L49" s="280">
        <f t="shared" si="24"/>
        <v>0</v>
      </c>
      <c r="M49" s="281">
        <f t="shared" si="25"/>
        <v>0</v>
      </c>
      <c r="N49" s="281">
        <f t="shared" si="26"/>
        <v>0</v>
      </c>
      <c r="O49" s="281">
        <f t="shared" si="27"/>
        <v>0</v>
      </c>
      <c r="P49" s="282">
        <f t="shared" si="28"/>
        <v>0</v>
      </c>
      <c r="Q49" s="281">
        <f t="shared" si="29"/>
        <v>383.4141087775983</v>
      </c>
      <c r="R49" s="283">
        <f t="shared" si="30"/>
        <v>247.47188096938186</v>
      </c>
    </row>
    <row r="50" spans="2:18" ht="16.5" thickBot="1" x14ac:dyDescent="0.3">
      <c r="B50" s="5">
        <v>37</v>
      </c>
      <c r="C50" s="243" t="s">
        <v>46</v>
      </c>
      <c r="D50" s="430">
        <f>1326+26094+23284</f>
        <v>50704</v>
      </c>
      <c r="E50" s="431">
        <f>1421+30621+8914</f>
        <v>40956</v>
      </c>
      <c r="F50" s="431">
        <f>3136+8833+7983+27893+3641+269</f>
        <v>51755</v>
      </c>
      <c r="G50" s="431">
        <v>59783</v>
      </c>
      <c r="H50" s="432">
        <v>58529</v>
      </c>
      <c r="I50" s="431">
        <v>55728</v>
      </c>
      <c r="J50" s="433">
        <v>72708</v>
      </c>
      <c r="K50" s="221"/>
      <c r="L50" s="284">
        <f t="shared" si="24"/>
        <v>26314.724184281957</v>
      </c>
      <c r="M50" s="285">
        <f t="shared" si="25"/>
        <v>17118.781505228926</v>
      </c>
      <c r="N50" s="285">
        <f t="shared" si="26"/>
        <v>16432.923634770297</v>
      </c>
      <c r="O50" s="285">
        <f t="shared" si="27"/>
        <v>19922.951568128876</v>
      </c>
      <c r="P50" s="286">
        <f t="shared" si="28"/>
        <v>19614.276139410187</v>
      </c>
      <c r="Q50" s="285">
        <f t="shared" si="29"/>
        <v>17148.396030463882</v>
      </c>
      <c r="R50" s="287">
        <f t="shared" si="30"/>
        <v>22186.418645526282</v>
      </c>
    </row>
    <row r="51" spans="2:18" ht="17.25" thickTop="1" thickBot="1" x14ac:dyDescent="0.3">
      <c r="B51" s="3">
        <v>38</v>
      </c>
      <c r="C51" s="270" t="s">
        <v>47</v>
      </c>
      <c r="D51" s="248">
        <f>D45+D46+D47+D48+D49+D50</f>
        <v>243995</v>
      </c>
      <c r="E51" s="249">
        <f t="shared" ref="E51:J51" si="31">E45+E46+E47+E48+E49+E50</f>
        <v>255690</v>
      </c>
      <c r="F51" s="249">
        <f t="shared" si="31"/>
        <v>317985</v>
      </c>
      <c r="G51" s="249">
        <f t="shared" si="31"/>
        <v>363904</v>
      </c>
      <c r="H51" s="250">
        <f t="shared" si="31"/>
        <v>394427</v>
      </c>
      <c r="I51" s="249">
        <f t="shared" si="31"/>
        <v>311941</v>
      </c>
      <c r="J51" s="259">
        <f t="shared" si="31"/>
        <v>405567</v>
      </c>
      <c r="K51" s="221"/>
      <c r="L51" s="248">
        <f t="shared" si="24"/>
        <v>126630.26836825252</v>
      </c>
      <c r="M51" s="249">
        <f t="shared" si="25"/>
        <v>106873.26015899952</v>
      </c>
      <c r="N51" s="249">
        <f t="shared" si="26"/>
        <v>100964.60674335682</v>
      </c>
      <c r="O51" s="249">
        <f t="shared" si="27"/>
        <v>121272.63214372599</v>
      </c>
      <c r="P51" s="250">
        <f t="shared" si="28"/>
        <v>132180.63002680964</v>
      </c>
      <c r="Q51" s="249">
        <f t="shared" si="29"/>
        <v>95989.229940764679</v>
      </c>
      <c r="R51" s="259">
        <f t="shared" si="30"/>
        <v>123756.38514070195</v>
      </c>
    </row>
    <row r="52" spans="2:18" x14ac:dyDescent="0.25">
      <c r="B52" s="5">
        <v>39</v>
      </c>
      <c r="C52" s="233" t="s">
        <v>48</v>
      </c>
      <c r="D52" s="422">
        <v>0</v>
      </c>
      <c r="E52" s="423">
        <v>0</v>
      </c>
      <c r="F52" s="423">
        <v>0</v>
      </c>
      <c r="G52" s="423">
        <v>0</v>
      </c>
      <c r="H52" s="424">
        <v>0</v>
      </c>
      <c r="I52" s="423">
        <v>0</v>
      </c>
      <c r="J52" s="425">
        <v>0</v>
      </c>
      <c r="K52" s="221"/>
      <c r="L52" s="276">
        <f t="shared" si="24"/>
        <v>0</v>
      </c>
      <c r="M52" s="277">
        <f t="shared" si="25"/>
        <v>0</v>
      </c>
      <c r="N52" s="277">
        <f t="shared" si="26"/>
        <v>0</v>
      </c>
      <c r="O52" s="277">
        <f t="shared" si="27"/>
        <v>0</v>
      </c>
      <c r="P52" s="278">
        <f t="shared" si="28"/>
        <v>0</v>
      </c>
      <c r="Q52" s="277">
        <f t="shared" si="29"/>
        <v>0</v>
      </c>
      <c r="R52" s="279">
        <f t="shared" si="30"/>
        <v>0</v>
      </c>
    </row>
    <row r="53" spans="2:18" ht="16.5" thickBot="1" x14ac:dyDescent="0.3">
      <c r="B53" s="5">
        <v>40</v>
      </c>
      <c r="C53" s="243" t="s">
        <v>49</v>
      </c>
      <c r="D53" s="430">
        <f>35489+67804</f>
        <v>103293</v>
      </c>
      <c r="E53" s="431">
        <f>34972+71961</f>
        <v>106933</v>
      </c>
      <c r="F53" s="431">
        <f>39318+206828</f>
        <v>246146</v>
      </c>
      <c r="G53" s="431">
        <v>241691</v>
      </c>
      <c r="H53" s="432">
        <v>232176</v>
      </c>
      <c r="I53" s="431">
        <v>192333</v>
      </c>
      <c r="J53" s="433">
        <v>193104</v>
      </c>
      <c r="K53" s="221"/>
      <c r="L53" s="284">
        <f t="shared" si="24"/>
        <v>53607.739136301592</v>
      </c>
      <c r="M53" s="285">
        <f t="shared" si="25"/>
        <v>44695.836085033814</v>
      </c>
      <c r="N53" s="285">
        <f t="shared" si="26"/>
        <v>78154.737146250016</v>
      </c>
      <c r="O53" s="285">
        <f t="shared" si="27"/>
        <v>80544.604443615011</v>
      </c>
      <c r="P53" s="286">
        <f t="shared" si="28"/>
        <v>77806.970509383376</v>
      </c>
      <c r="Q53" s="285">
        <f t="shared" si="29"/>
        <v>59183.937225940455</v>
      </c>
      <c r="R53" s="287">
        <f t="shared" si="30"/>
        <v>58924.550064995703</v>
      </c>
    </row>
    <row r="54" spans="2:18" ht="17.25" thickTop="1" thickBot="1" x14ac:dyDescent="0.3">
      <c r="B54" s="3">
        <v>41</v>
      </c>
      <c r="C54" s="288" t="s">
        <v>50</v>
      </c>
      <c r="D54" s="289">
        <f>D52+D53</f>
        <v>103293</v>
      </c>
      <c r="E54" s="290">
        <f t="shared" ref="E54:J54" si="32">E52+E53</f>
        <v>106933</v>
      </c>
      <c r="F54" s="290">
        <f t="shared" si="32"/>
        <v>246146</v>
      </c>
      <c r="G54" s="290">
        <f t="shared" si="32"/>
        <v>241691</v>
      </c>
      <c r="H54" s="291">
        <f t="shared" si="32"/>
        <v>232176</v>
      </c>
      <c r="I54" s="290">
        <f t="shared" si="32"/>
        <v>192333</v>
      </c>
      <c r="J54" s="292">
        <f t="shared" si="32"/>
        <v>193104</v>
      </c>
      <c r="K54" s="221"/>
      <c r="L54" s="289">
        <f t="shared" si="24"/>
        <v>53607.739136301592</v>
      </c>
      <c r="M54" s="290">
        <f t="shared" si="25"/>
        <v>44695.836085033814</v>
      </c>
      <c r="N54" s="290">
        <f t="shared" si="26"/>
        <v>78154.737146250016</v>
      </c>
      <c r="O54" s="290">
        <f t="shared" si="27"/>
        <v>80544.604443615011</v>
      </c>
      <c r="P54" s="291">
        <f t="shared" si="28"/>
        <v>77806.970509383376</v>
      </c>
      <c r="Q54" s="290">
        <f t="shared" si="29"/>
        <v>59183.937225940455</v>
      </c>
      <c r="R54" s="292">
        <f t="shared" si="30"/>
        <v>58924.550064995703</v>
      </c>
    </row>
    <row r="55" spans="2:18" ht="17.25" thickTop="1" thickBot="1" x14ac:dyDescent="0.3">
      <c r="B55" s="3">
        <v>42</v>
      </c>
      <c r="C55" s="270" t="s">
        <v>51</v>
      </c>
      <c r="D55" s="248">
        <f>D51+D54</f>
        <v>347288</v>
      </c>
      <c r="E55" s="249">
        <f t="shared" ref="E55:J55" si="33">E51+E54</f>
        <v>362623</v>
      </c>
      <c r="F55" s="249">
        <f t="shared" si="33"/>
        <v>564131</v>
      </c>
      <c r="G55" s="249">
        <f t="shared" si="33"/>
        <v>605595</v>
      </c>
      <c r="H55" s="250">
        <f t="shared" si="33"/>
        <v>626603</v>
      </c>
      <c r="I55" s="249">
        <f t="shared" si="33"/>
        <v>504274</v>
      </c>
      <c r="J55" s="259">
        <f t="shared" si="33"/>
        <v>598671</v>
      </c>
      <c r="K55" s="221"/>
      <c r="L55" s="248">
        <f t="shared" si="24"/>
        <v>180238.00750455412</v>
      </c>
      <c r="M55" s="249">
        <f t="shared" si="25"/>
        <v>151569.09624403334</v>
      </c>
      <c r="N55" s="249">
        <f t="shared" si="26"/>
        <v>179119.34388960683</v>
      </c>
      <c r="O55" s="249">
        <f t="shared" si="27"/>
        <v>201817.236587341</v>
      </c>
      <c r="P55" s="250">
        <f t="shared" si="28"/>
        <v>209987.60053619303</v>
      </c>
      <c r="Q55" s="249">
        <f t="shared" si="29"/>
        <v>155173.16716670513</v>
      </c>
      <c r="R55" s="259">
        <f t="shared" si="30"/>
        <v>182680.93520569766</v>
      </c>
    </row>
    <row r="56" spans="2:18" ht="5.0999999999999996" customHeight="1" thickBot="1" x14ac:dyDescent="0.3">
      <c r="C56" s="293"/>
      <c r="D56" s="294"/>
      <c r="E56" s="294"/>
      <c r="F56" s="294"/>
      <c r="G56" s="294"/>
      <c r="H56" s="294"/>
      <c r="I56" s="294"/>
      <c r="J56" s="294"/>
      <c r="K56" s="221"/>
      <c r="L56" s="294"/>
      <c r="M56" s="294"/>
      <c r="N56" s="294"/>
      <c r="O56" s="294"/>
      <c r="P56" s="294"/>
      <c r="Q56" s="294"/>
      <c r="R56" s="294"/>
    </row>
    <row r="57" spans="2:18" ht="16.5" thickBot="1" x14ac:dyDescent="0.3">
      <c r="C57" s="460" t="s">
        <v>52</v>
      </c>
      <c r="D57" s="230"/>
      <c r="E57" s="230"/>
      <c r="F57" s="268"/>
      <c r="G57" s="268"/>
      <c r="H57" s="268"/>
      <c r="I57" s="268"/>
      <c r="J57" s="268"/>
      <c r="K57" s="221"/>
      <c r="L57" s="268"/>
      <c r="M57" s="268"/>
      <c r="N57" s="268"/>
      <c r="O57" s="268"/>
      <c r="P57" s="268"/>
      <c r="Q57" s="268"/>
      <c r="R57" s="268"/>
    </row>
    <row r="58" spans="2:18" x14ac:dyDescent="0.25">
      <c r="B58" s="5">
        <v>43</v>
      </c>
      <c r="C58" s="233" t="s">
        <v>53</v>
      </c>
      <c r="D58" s="422">
        <v>56</v>
      </c>
      <c r="E58" s="423">
        <v>56</v>
      </c>
      <c r="F58" s="423">
        <v>56</v>
      </c>
      <c r="G58" s="423">
        <v>56</v>
      </c>
      <c r="H58" s="424">
        <v>56</v>
      </c>
      <c r="I58" s="423">
        <v>56</v>
      </c>
      <c r="J58" s="425">
        <v>56</v>
      </c>
      <c r="K58" s="221"/>
      <c r="L58" s="276">
        <f t="shared" ref="L58:L63" si="34">IF(AND($C$4="en COP a 31 de diciembre",$K$4="en COP a 31 de diciembre"),D58,IF(AND($C$4="en COP a 31 de diciembre",$K$4="en COP miles a 31 de diciembre"),D58/1000,IF(AND($C$4="en COP a 31 de diciembre",$K$4="en COP millones a 31 de diciembre"),D58/1000000,(IF(AND($C$4="en COP a 31 de diciembre",$K$4="en USD a 31 de diciembre"),D58/L$5,IF(AND($C$4="en COP a 31 de diciembre",$K$4="en USD miles a 31 de diciembre"),(D58/L$5)/1000,IF(AND($C$4="en COP a 31 de diciembre",$K$4="en USD millones a 31 de diciembre"),(D58/L$5)/1000000,IF(AND($C$4="en COP miles a 31 de diciembre",$K$4="en COP a 31 de diciembre"),D58/1000,IF(AND($C$4="en COP miles a 31 de diciembre",$K$4="en COP miles a 31 de diciembre"),D58,IF(AND($C$4="en COP miles a 31 de diciembre",$K$4="en COP millones a 31 de diciembre"),D58/1000,IF(AND($C$4="en COP miles a 31 de diciembre",$K$4="en USD a 31 de diciembre"),(D58*1000)/L$5,IF(AND($C$4="en COP miles a 31 de diciembre",$K$4="en USD miles a 31 de diciembre"),D58/L$5,IF(AND($C$4="en COP miles a 31 de diciembre",$K$4="en USD millones a 31 de diciembre"),((D58*1000)/L$5)/1000000,IF(AND($C$4="en COP millones a 31 de diciembre",$K$4="en COP a 31 de diciembre"),D58*1000000,IF(AND($C$4="en COP millones a 31 de diciembre",$K$4="en COP miles a 31 de diciembre"),D58*1000,IF(AND($C$4="en COP millones a 31 de diciembre",$K$4="en COP millones a 31 de diciembre"),D58,IF(AND($C$4="en COP millones a 31 de diciembre",$K$4="en USD a 31 de diciembre"),(D58*1000000)/L$5,IF(AND($C$4="en COP millones a 31 de diciembre",$K$4="en USD miles a 31 de diciembre"),(D58*1000)/L$5,IF(AND($C$4="en COP millones a 31 de diciembre",$K$4="en USD millones a 31 de diciembre"),D58/L$5,IF(AND($C$4="en USD a 31 de diciembre",$K$4="en COP a 31 de diciembre"),D58*L$5,IF(AND($C$4="en USD a 31 de diciembre",$K$4="en COP miles a 31 de diciembre"),(D58*L$5)/1000,IF(AND($C$4="en USD a 31 de diciembre",$K$4="en COP millones a 31 de diciembre"),(D58*L$5)/1000000,IF(AND($C$4="en USD a 31 de diciembre",$K$4="en USD a 31 de diciembre"),D58,IF(AND($C$4="en USD a 31 de diciembre",$K$4="en USD miles a 31 de diciembre"),D58/1000,IF(AND($C$4="en USD a 31 de diciembre",$K$4="en USD millones a 31 de diciembre"),D58/1000000,IF(AND($C$4="en USD miles a 31 de diciembre",$K$4="en COP a 31 de diciembre"),(D58*L$5)*1000,IF(AND($C$4="en USD miles a 31 de diciembre",$K$4="en COP miles a 31 de diciembre"),D58*L$5,IF(AND($C$4="en USD miles a 31 de diciembre",$K$4="en COP millones a 31 de diciembre"),(D58*L$5)/1000,IF(AND($C$4="en USD miles a 31 de diciembre",$K$4="en USD a 31 de diciembre"),D58*1000,IF(AND($C$4="en USD miles a 31 de diciembre",$K$4="en USD miles a 31 de diciembre"),D58,IF(AND($C$4="en USD miles a 31 de diciembre",$K$4="en USD millones a 31 de diciembre"),D58/1000,IF(AND($C$4="en USD millones a 31 de diciembre",$K$4="en USD a 31 de diciembre"),D58*1000000,IF(AND($C$4="en USD millones a 31 de diciembre",$K$4="en USD miles a 31 de diciembre"),D58*1000,IF(AND($C$4="en USD millones a 31 de diciembre",$K$4="en USD millones a 31 de diciembre"),D58,IF(AND($C$4="en USD millones a 31 de diciembre",$K$4="en COP a 31 de diciembre"),(D58*L$5)*1000000,IF(AND($C$4="en USD millones a 31 de diciembre",$K$4="en COP miles a 31 de diciembre"),(D58*L$5)*1000,IF(AND($C$4="en USD millones a 31 de diciembre",$K$4="en COP millones a 31 de diciembre"),D58*L$5)))))))))))))))))))))))))))))))))))))</f>
        <v>29.063280102551861</v>
      </c>
      <c r="M58" s="277">
        <f t="shared" ref="M58:M63" si="35">IF(AND($C$4="en COP a 31 de diciembre",$K$4="en COP a 31 de diciembre"),E58,IF(AND($C$4="en COP a 31 de diciembre",$K$4="en COP miles a 31 de diciembre"),E58/1000,IF(AND($C$4="en COP a 31 de diciembre",$K$4="en COP millones a 31 de diciembre"),E58/1000000,(IF(AND($C$4="en COP a 31 de diciembre",$K$4="en USD a 31 de diciembre"),E58/M$5,IF(AND($C$4="en COP a 31 de diciembre",$K$4="en USD miles a 31 de diciembre"),(E58/M$5)/1000,IF(AND($C$4="en COP a 31 de diciembre",$K$4="en USD millones a 31 de diciembre"),(E58/M$5)/1000000,IF(AND($C$4="en COP miles a 31 de diciembre",$K$4="en COP a 31 de diciembre"),E58/1000,IF(AND($C$4="en COP miles a 31 de diciembre",$K$4="en COP miles a 31 de diciembre"),E58,IF(AND($C$4="en COP miles a 31 de diciembre",$K$4="en COP millones a 31 de diciembre"),E58/1000,IF(AND($C$4="en COP miles a 31 de diciembre",$K$4="en USD a 31 de diciembre"),(E58*1000)/M$5,IF(AND($C$4="en COP miles a 31 de diciembre",$K$4="en USD miles a 31 de diciembre"),E58/M$5,IF(AND($C$4="en COP miles a 31 de diciembre",$K$4="en USD millones a 31 de diciembre"),((E58*1000)/M$5)/1000000,IF(AND($C$4="en COP millones a 31 de diciembre",$K$4="en COP a 31 de diciembre"),E58*1000000,IF(AND($C$4="en COP millones a 31 de diciembre",$K$4="en COP miles a 31 de diciembre"),E58*1000,IF(AND($C$4="en COP millones a 31 de diciembre",$K$4="en COP millones a 31 de diciembre"),E58,IF(AND($C$4="en COP millones a 31 de diciembre",$K$4="en USD a 31 de diciembre"),(E58*1000000)/M$5,IF(AND($C$4="en COP millones a 31 de diciembre",$K$4="en USD miles a 31 de diciembre"),(E58*1000)/M$5,IF(AND($C$4="en COP millones a 31 de diciembre",$K$4="en USD millones a 31 de diciembre"),E58/M$5,IF(AND($C$4="en USD a 31 de diciembre",$K$4="en COP a 31 de diciembre"),E58*M$5,IF(AND($C$4="en USD a 31 de diciembre",$K$4="en COP miles a 31 de diciembre"),(E58*M$5)/1000,IF(AND($C$4="en USD a 31 de diciembre",$K$4="en COP millones a 31 de diciembre"),(E58*M$5)/1000000,IF(AND($C$4="en USD a 31 de diciembre",$K$4="en USD a 31 de diciembre"),E58,IF(AND($C$4="en USD a 31 de diciembre",$K$4="en USD miles a 31 de diciembre"),E58/1000,IF(AND($C$4="en USD a 31 de diciembre",$K$4="en USD millones a 31 de diciembre"),E58/1000000,IF(AND($C$4="en USD miles a 31 de diciembre",$K$4="en COP a 31 de diciembre"),(E58*M$5)*1000,IF(AND($C$4="en USD miles a 31 de diciembre",$K$4="en COP miles a 31 de diciembre"),E58*M$5,IF(AND($C$4="en USD miles a 31 de diciembre",$K$4="en COP millones a 31 de diciembre"),(E58*M$5)/1000,IF(AND($C$4="en USD miles a 31 de diciembre",$K$4="en USD a 31 de diciembre"),E58*1000,IF(AND($C$4="en USD miles a 31 de diciembre",$K$4="en USD miles a 31 de diciembre"),E58,IF(AND($C$4="en USD miles a 31 de diciembre",$K$4="en USD millones a 31 de diciembre"),E58/1000,IF(AND($C$4="en USD millones a 31 de diciembre",$K$4="en USD a 31 de diciembre"),E58*1000000,IF(AND($C$4="en USD millones a 31 de diciembre",$K$4="en USD miles a 31 de diciembre"),E58*1000,IF(AND($C$4="en USD millones a 31 de diciembre",$K$4="en USD millones a 31 de diciembre"),E58,IF(AND($C$4="en USD millones a 31 de diciembre",$K$4="en COP a 31 de diciembre"),(E58*M$5)*1000000,IF(AND($C$4="en USD millones a 31 de diciembre",$K$4="en COP miles a 31 de diciembre"),(E58*M$5)*1000,IF(AND($C$4="en USD millones a 31 de diciembre",$K$4="en COP millones a 31 de diciembre"),E58*M$5)))))))))))))))))))))))))))))))))))))</f>
        <v>23.406869916320439</v>
      </c>
      <c r="N58" s="277">
        <f t="shared" ref="N58:N63" si="36">IF(AND($C$4="en COP a 31 de diciembre",$K$4="en COP a 31 de diciembre"),F58,IF(AND($C$4="en COP a 31 de diciembre",$K$4="en COP miles a 31 de diciembre"),F58/1000,IF(AND($C$4="en COP a 31 de diciembre",$K$4="en COP millones a 31 de diciembre"),F58/1000000,(IF(AND($C$4="en COP a 31 de diciembre",$K$4="en USD a 31 de diciembre"),F58/N$5,IF(AND($C$4="en COP a 31 de diciembre",$K$4="en USD miles a 31 de diciembre"),(F58/N$5)/1000,IF(AND($C$4="en COP a 31 de diciembre",$K$4="en USD millones a 31 de diciembre"),(F58/N$5)/1000000,IF(AND($C$4="en COP miles a 31 de diciembre",$K$4="en COP a 31 de diciembre"),F58/1000,IF(AND($C$4="en COP miles a 31 de diciembre",$K$4="en COP miles a 31 de diciembre"),F58,IF(AND($C$4="en COP miles a 31 de diciembre",$K$4="en COP millones a 31 de diciembre"),F58/1000,IF(AND($C$4="en COP miles a 31 de diciembre",$K$4="en USD a 31 de diciembre"),(F58*1000)/N$5,IF(AND($C$4="en COP miles a 31 de diciembre",$K$4="en USD miles a 31 de diciembre"),F58/N$5,IF(AND($C$4="en COP miles a 31 de diciembre",$K$4="en USD millones a 31 de diciembre"),((F58*1000)/N$5)/1000000,IF(AND($C$4="en COP millones a 31 de diciembre",$K$4="en COP a 31 de diciembre"),F58*1000000,IF(AND($C$4="en COP millones a 31 de diciembre",$K$4="en COP miles a 31 de diciembre"),F58*1000,IF(AND($C$4="en COP millones a 31 de diciembre",$K$4="en COP millones a 31 de diciembre"),F58,IF(AND($C$4="en COP millones a 31 de diciembre",$K$4="en USD a 31 de diciembre"),(F58*1000000)/N$5,IF(AND($C$4="en COP millones a 31 de diciembre",$K$4="en USD miles a 31 de diciembre"),(F58*1000)/N$5,IF(AND($C$4="en COP millones a 31 de diciembre",$K$4="en USD millones a 31 de diciembre"),F58/N$5,IF(AND($C$4="en USD a 31 de diciembre",$K$4="en COP a 31 de diciembre"),F58*N$5,IF(AND($C$4="en USD a 31 de diciembre",$K$4="en COP miles a 31 de diciembre"),(F58*N$5)/1000,IF(AND($C$4="en USD a 31 de diciembre",$K$4="en COP millones a 31 de diciembre"),(F58*N$5)/1000000,IF(AND($C$4="en USD a 31 de diciembre",$K$4="en USD a 31 de diciembre"),F58,IF(AND($C$4="en USD a 31 de diciembre",$K$4="en USD miles a 31 de diciembre"),F58/1000,IF(AND($C$4="en USD a 31 de diciembre",$K$4="en USD millones a 31 de diciembre"),F58/1000000,IF(AND($C$4="en USD miles a 31 de diciembre",$K$4="en COP a 31 de diciembre"),(F58*N$5)*1000,IF(AND($C$4="en USD miles a 31 de diciembre",$K$4="en COP miles a 31 de diciembre"),F58*N$5,IF(AND($C$4="en USD miles a 31 de diciembre",$K$4="en COP millones a 31 de diciembre"),(F58*N$5)/1000,IF(AND($C$4="en USD miles a 31 de diciembre",$K$4="en USD a 31 de diciembre"),F58*1000,IF(AND($C$4="en USD miles a 31 de diciembre",$K$4="en USD miles a 31 de diciembre"),F58,IF(AND($C$4="en USD miles a 31 de diciembre",$K$4="en USD millones a 31 de diciembre"),F58/1000,IF(AND($C$4="en USD millones a 31 de diciembre",$K$4="en USD a 31 de diciembre"),F58*1000000,IF(AND($C$4="en USD millones a 31 de diciembre",$K$4="en USD miles a 31 de diciembre"),F58*1000,IF(AND($C$4="en USD millones a 31 de diciembre",$K$4="en USD millones a 31 de diciembre"),F58,IF(AND($C$4="en USD millones a 31 de diciembre",$K$4="en COP a 31 de diciembre"),(F58*N$5)*1000000,IF(AND($C$4="en USD millones a 31 de diciembre",$K$4="en COP miles a 31 de diciembre"),(F58*N$5)*1000,IF(AND($C$4="en USD millones a 31 de diciembre",$K$4="en COP millones a 31 de diciembre"),F58*N$5)))))))))))))))))))))))))))))))))))))</f>
        <v>17.780769462798503</v>
      </c>
      <c r="O58" s="277">
        <f t="shared" ref="O58:O63" si="37">IF(AND($C$4="en COP a 31 de diciembre",$K$4="en COP a 31 de diciembre"),G58,IF(AND($C$4="en COP a 31 de diciembre",$K$4="en COP miles a 31 de diciembre"),G58/1000,IF(AND($C$4="en COP a 31 de diciembre",$K$4="en COP millones a 31 de diciembre"),G58/1000000,(IF(AND($C$4="en COP a 31 de diciembre",$K$4="en USD a 31 de diciembre"),G58/O$5,IF(AND($C$4="en COP a 31 de diciembre",$K$4="en USD miles a 31 de diciembre"),(G58/O$5)/1000,IF(AND($C$4="en COP a 31 de diciembre",$K$4="en USD millones a 31 de diciembre"),(G58/O$5)/1000000,IF(AND($C$4="en COP miles a 31 de diciembre",$K$4="en COP a 31 de diciembre"),G58/1000,IF(AND($C$4="en COP miles a 31 de diciembre",$K$4="en COP miles a 31 de diciembre"),G58,IF(AND($C$4="en COP miles a 31 de diciembre",$K$4="en COP millones a 31 de diciembre"),G58/1000,IF(AND($C$4="en COP miles a 31 de diciembre",$K$4="en USD a 31 de diciembre"),(G58*1000)/O$5,IF(AND($C$4="en COP miles a 31 de diciembre",$K$4="en USD miles a 31 de diciembre"),G58/O$5,IF(AND($C$4="en COP miles a 31 de diciembre",$K$4="en USD millones a 31 de diciembre"),((G58*1000)/O$5)/1000000,IF(AND($C$4="en COP millones a 31 de diciembre",$K$4="en COP a 31 de diciembre"),G58*1000000,IF(AND($C$4="en COP millones a 31 de diciembre",$K$4="en COP miles a 31 de diciembre"),G58*1000,IF(AND($C$4="en COP millones a 31 de diciembre",$K$4="en COP millones a 31 de diciembre"),G58,IF(AND($C$4="en COP millones a 31 de diciembre",$K$4="en USD a 31 de diciembre"),(G58*1000000)/O$5,IF(AND($C$4="en COP millones a 31 de diciembre",$K$4="en USD miles a 31 de diciembre"),(G58*1000)/O$5,IF(AND($C$4="en COP millones a 31 de diciembre",$K$4="en USD millones a 31 de diciembre"),G58/O$5,IF(AND($C$4="en USD a 31 de diciembre",$K$4="en COP a 31 de diciembre"),G58*O$5,IF(AND($C$4="en USD a 31 de diciembre",$K$4="en COP miles a 31 de diciembre"),(G58*O$5)/1000,IF(AND($C$4="en USD a 31 de diciembre",$K$4="en COP millones a 31 de diciembre"),(G58*O$5)/1000000,IF(AND($C$4="en USD a 31 de diciembre",$K$4="en USD a 31 de diciembre"),G58,IF(AND($C$4="en USD a 31 de diciembre",$K$4="en USD miles a 31 de diciembre"),G58/1000,IF(AND($C$4="en USD a 31 de diciembre",$K$4="en USD millones a 31 de diciembre"),G58/1000000,IF(AND($C$4="en USD miles a 31 de diciembre",$K$4="en COP a 31 de diciembre"),(G58*O$5)*1000,IF(AND($C$4="en USD miles a 31 de diciembre",$K$4="en COP miles a 31 de diciembre"),G58*O$5,IF(AND($C$4="en USD miles a 31 de diciembre",$K$4="en COP millones a 31 de diciembre"),(G58*O$5)/1000,IF(AND($C$4="en USD miles a 31 de diciembre",$K$4="en USD a 31 de diciembre"),G58*1000,IF(AND($C$4="en USD miles a 31 de diciembre",$K$4="en USD miles a 31 de diciembre"),G58,IF(AND($C$4="en USD miles a 31 de diciembre",$K$4="en USD millones a 31 de diciembre"),G58/1000,IF(AND($C$4="en USD millones a 31 de diciembre",$K$4="en USD a 31 de diciembre"),G58*1000000,IF(AND($C$4="en USD millones a 31 de diciembre",$K$4="en USD miles a 31 de diciembre"),G58*1000,IF(AND($C$4="en USD millones a 31 de diciembre",$K$4="en USD millones a 31 de diciembre"),G58,IF(AND($C$4="en USD millones a 31 de diciembre",$K$4="en COP a 31 de diciembre"),(G58*O$5)*1000000,IF(AND($C$4="en USD millones a 31 de diciembre",$K$4="en COP miles a 31 de diciembre"),(G58*O$5)*1000,IF(AND($C$4="en USD millones a 31 de diciembre",$K$4="en COP millones a 31 de diciembre"),G58*O$5)))))))))))))))))))))))))))))))))))))</f>
        <v>18.662249934182242</v>
      </c>
      <c r="P58" s="278">
        <f t="shared" ref="P58:P63" si="38">IF(AND($C$4="en COP a 31 de diciembre",$K$4="en COP a 31 de diciembre"),H58,IF(AND($C$4="en COP a 31 de diciembre",$K$4="en COP miles a 31 de diciembre"),H58/1000,IF(AND($C$4="en COP a 31 de diciembre",$K$4="en COP millones a 31 de diciembre"),H58/1000000,(IF(AND($C$4="en COP a 31 de diciembre",$K$4="en USD a 31 de diciembre"),H58/P$5,IF(AND($C$4="en COP a 31 de diciembre",$K$4="en USD miles a 31 de diciembre"),(H58/P$5)/1000,IF(AND($C$4="en COP a 31 de diciembre",$K$4="en USD millones a 31 de diciembre"),(H58/P$5)/1000000,IF(AND($C$4="en COP miles a 31 de diciembre",$K$4="en COP a 31 de diciembre"),H58/1000,IF(AND($C$4="en COP miles a 31 de diciembre",$K$4="en COP miles a 31 de diciembre"),H58,IF(AND($C$4="en COP miles a 31 de diciembre",$K$4="en COP millones a 31 de diciembre"),H58/1000,IF(AND($C$4="en COP miles a 31 de diciembre",$K$4="en USD a 31 de diciembre"),(H58*1000)/P$5,IF(AND($C$4="en COP miles a 31 de diciembre",$K$4="en USD miles a 31 de diciembre"),H58/P$5,IF(AND($C$4="en COP miles a 31 de diciembre",$K$4="en USD millones a 31 de diciembre"),((H58*1000)/P$5)/1000000,IF(AND($C$4="en COP millones a 31 de diciembre",$K$4="en COP a 31 de diciembre"),H58*1000000,IF(AND($C$4="en COP millones a 31 de diciembre",$K$4="en COP miles a 31 de diciembre"),H58*1000,IF(AND($C$4="en COP millones a 31 de diciembre",$K$4="en COP millones a 31 de diciembre"),H58,IF(AND($C$4="en COP millones a 31 de diciembre",$K$4="en USD a 31 de diciembre"),(H58*1000000)/P$5,IF(AND($C$4="en COP millones a 31 de diciembre",$K$4="en USD miles a 31 de diciembre"),(H58*1000)/P$5,IF(AND($C$4="en COP millones a 31 de diciembre",$K$4="en USD millones a 31 de diciembre"),H58/P$5,IF(AND($C$4="en USD a 31 de diciembre",$K$4="en COP a 31 de diciembre"),H58*P$5,IF(AND($C$4="en USD a 31 de diciembre",$K$4="en COP miles a 31 de diciembre"),(H58*P$5)/1000,IF(AND($C$4="en USD a 31 de diciembre",$K$4="en COP millones a 31 de diciembre"),(H58*P$5)/1000000,IF(AND($C$4="en USD a 31 de diciembre",$K$4="en USD a 31 de diciembre"),H58,IF(AND($C$4="en USD a 31 de diciembre",$K$4="en USD miles a 31 de diciembre"),H58/1000,IF(AND($C$4="en USD a 31 de diciembre",$K$4="en USD millones a 31 de diciembre"),H58/1000000,IF(AND($C$4="en USD miles a 31 de diciembre",$K$4="en COP a 31 de diciembre"),(H58*P$5)*1000,IF(AND($C$4="en USD miles a 31 de diciembre",$K$4="en COP miles a 31 de diciembre"),H58*P$5,IF(AND($C$4="en USD miles a 31 de diciembre",$K$4="en COP millones a 31 de diciembre"),(H58*P$5)/1000,IF(AND($C$4="en USD miles a 31 de diciembre",$K$4="en USD a 31 de diciembre"),H58*1000,IF(AND($C$4="en USD miles a 31 de diciembre",$K$4="en USD miles a 31 de diciembre"),H58,IF(AND($C$4="en USD miles a 31 de diciembre",$K$4="en USD millones a 31 de diciembre"),H58/1000,IF(AND($C$4="en USD millones a 31 de diciembre",$K$4="en USD a 31 de diciembre"),H58*1000000,IF(AND($C$4="en USD millones a 31 de diciembre",$K$4="en USD miles a 31 de diciembre"),H58*1000,IF(AND($C$4="en USD millones a 31 de diciembre",$K$4="en USD millones a 31 de diciembre"),H58,IF(AND($C$4="en USD millones a 31 de diciembre",$K$4="en COP a 31 de diciembre"),(H58*P$5)*1000000,IF(AND($C$4="en USD millones a 31 de diciembre",$K$4="en COP miles a 31 de diciembre"),(H58*P$5)*1000,IF(AND($C$4="en USD millones a 31 de diciembre",$K$4="en COP millones a 31 de diciembre"),H58*P$5)))))))))))))))))))))))))))))))))))))</f>
        <v>18.766756032171582</v>
      </c>
      <c r="Q58" s="277">
        <f t="shared" ref="Q58:Q63" si="39">IF(AND($C$4="en COP a 31 de diciembre",$K$4="en COP a 31 de diciembre"),I58,IF(AND($C$4="en COP a 31 de diciembre",$K$4="en COP miles a 31 de diciembre"),I58/1000,IF(AND($C$4="en COP a 31 de diciembre",$K$4="en COP millones a 31 de diciembre"),I58/1000000,(IF(AND($C$4="en COP a 31 de diciembre",$K$4="en USD a 31 de diciembre"),I58/Q$5,IF(AND($C$4="en COP a 31 de diciembre",$K$4="en USD miles a 31 de diciembre"),(I58/Q$5)/1000,IF(AND($C$4="en COP a 31 de diciembre",$K$4="en USD millones a 31 de diciembre"),(I58/Q$5)/1000000,IF(AND($C$4="en COP miles a 31 de diciembre",$K$4="en COP a 31 de diciembre"),I58/1000,IF(AND($C$4="en COP miles a 31 de diciembre",$K$4="en COP miles a 31 de diciembre"),I58,IF(AND($C$4="en COP miles a 31 de diciembre",$K$4="en COP millones a 31 de diciembre"),I58/1000,IF(AND($C$4="en COP miles a 31 de diciembre",$K$4="en USD a 31 de diciembre"),(I58*1000)/Q$5,IF(AND($C$4="en COP miles a 31 de diciembre",$K$4="en USD miles a 31 de diciembre"),I58/Q$5,IF(AND($C$4="en COP miles a 31 de diciembre",$K$4="en USD millones a 31 de diciembre"),((I58*1000)/Q$5)/1000000,IF(AND($C$4="en COP millones a 31 de diciembre",$K$4="en COP a 31 de diciembre"),I58*1000000,IF(AND($C$4="en COP millones a 31 de diciembre",$K$4="en COP miles a 31 de diciembre"),I58*1000,IF(AND($C$4="en COP millones a 31 de diciembre",$K$4="en COP millones a 31 de diciembre"),I58,IF(AND($C$4="en COP millones a 31 de diciembre",$K$4="en USD a 31 de diciembre"),(I58*1000000)/Q$5,IF(AND($C$4="en COP millones a 31 de diciembre",$K$4="en USD miles a 31 de diciembre"),(I58*1000)/Q$5,IF(AND($C$4="en COP millones a 31 de diciembre",$K$4="en USD millones a 31 de diciembre"),I58/Q$5,IF(AND($C$4="en USD a 31 de diciembre",$K$4="en COP a 31 de diciembre"),I58*Q$5,IF(AND($C$4="en USD a 31 de diciembre",$K$4="en COP miles a 31 de diciembre"),(I58*Q$5)/1000,IF(AND($C$4="en USD a 31 de diciembre",$K$4="en COP millones a 31 de diciembre"),(I58*Q$5)/1000000,IF(AND($C$4="en USD a 31 de diciembre",$K$4="en USD a 31 de diciembre"),I58,IF(AND($C$4="en USD a 31 de diciembre",$K$4="en USD miles a 31 de diciembre"),I58/1000,IF(AND($C$4="en USD a 31 de diciembre",$K$4="en USD millones a 31 de diciembre"),I58/1000000,IF(AND($C$4="en USD miles a 31 de diciembre",$K$4="en COP a 31 de diciembre"),(I58*Q$5)*1000,IF(AND($C$4="en USD miles a 31 de diciembre",$K$4="en COP miles a 31 de diciembre"),I58*Q$5,IF(AND($C$4="en USD miles a 31 de diciembre",$K$4="en COP millones a 31 de diciembre"),(I58*Q$5)/1000,IF(AND($C$4="en USD miles a 31 de diciembre",$K$4="en USD a 31 de diciembre"),I58*1000,IF(AND($C$4="en USD miles a 31 de diciembre",$K$4="en USD miles a 31 de diciembre"),I58,IF(AND($C$4="en USD miles a 31 de diciembre",$K$4="en USD millones a 31 de diciembre"),I58/1000,IF(AND($C$4="en USD millones a 31 de diciembre",$K$4="en USD a 31 de diciembre"),I58*1000000,IF(AND($C$4="en USD millones a 31 de diciembre",$K$4="en USD miles a 31 de diciembre"),I58*1000,IF(AND($C$4="en USD millones a 31 de diciembre",$K$4="en USD millones a 31 de diciembre"),I58,IF(AND($C$4="en USD millones a 31 de diciembre",$K$4="en COP a 31 de diciembre"),(I58*Q$5)*1000000,IF(AND($C$4="en USD millones a 31 de diciembre",$K$4="en COP miles a 31 de diciembre"),(I58*Q$5)*1000,IF(AND($C$4="en USD millones a 31 de diciembre",$K$4="en COP millones a 31 de diciembre"),I58*Q$5)))))))))))))))))))))))))))))))))))))</f>
        <v>17.232094776521272</v>
      </c>
      <c r="R58" s="279">
        <f t="shared" ref="R58:R63" si="40">IF(AND($C$4="en COP a 31 de diciembre",$K$4="en COP a 31 de diciembre"),J58,IF(AND($C$4="en COP a 31 de diciembre",$K$4="en COP miles a 31 de diciembre"),J58/1000,IF(AND($C$4="en COP a 31 de diciembre",$K$4="en COP millones a 31 de diciembre"),J58/1000000,(IF(AND($C$4="en COP a 31 de diciembre",$K$4="en USD a 31 de diciembre"),J58/R$5,IF(AND($C$4="en COP a 31 de diciembre",$K$4="en USD miles a 31 de diciembre"),(J58/R$5)/1000,IF(AND($C$4="en COP a 31 de diciembre",$K$4="en USD millones a 31 de diciembre"),(J58/R$5)/1000000,IF(AND($C$4="en COP miles a 31 de diciembre",$K$4="en COP a 31 de diciembre"),J58/1000,IF(AND($C$4="en COP miles a 31 de diciembre",$K$4="en COP miles a 31 de diciembre"),J58,IF(AND($C$4="en COP miles a 31 de diciembre",$K$4="en COP millones a 31 de diciembre"),J58/1000,IF(AND($C$4="en COP miles a 31 de diciembre",$K$4="en USD a 31 de diciembre"),(J58*1000)/R$5,IF(AND($C$4="en COP miles a 31 de diciembre",$K$4="en USD miles a 31 de diciembre"),J58/R$5,IF(AND($C$4="en COP miles a 31 de diciembre",$K$4="en USD millones a 31 de diciembre"),((J58*1000)/R$5)/1000000,IF(AND($C$4="en COP millones a 31 de diciembre",$K$4="en COP a 31 de diciembre"),J58*1000000,IF(AND($C$4="en COP millones a 31 de diciembre",$K$4="en COP miles a 31 de diciembre"),J58*1000,IF(AND($C$4="en COP millones a 31 de diciembre",$K$4="en COP millones a 31 de diciembre"),J58,IF(AND($C$4="en COP millones a 31 de diciembre",$K$4="en USD a 31 de diciembre"),(J58*1000000)/R$5,IF(AND($C$4="en COP millones a 31 de diciembre",$K$4="en USD miles a 31 de diciembre"),(J58*1000)/R$5,IF(AND($C$4="en COP millones a 31 de diciembre",$K$4="en USD millones a 31 de diciembre"),J58/R$5,IF(AND($C$4="en USD a 31 de diciembre",$K$4="en COP a 31 de diciembre"),J58*R$5,IF(AND($C$4="en USD a 31 de diciembre",$K$4="en COP miles a 31 de diciembre"),(J58*R$5)/1000,IF(AND($C$4="en USD a 31 de diciembre",$K$4="en COP millones a 31 de diciembre"),(J58*R$5)/1000000,IF(AND($C$4="en USD a 31 de diciembre",$K$4="en USD a 31 de diciembre"),J58,IF(AND($C$4="en USD a 31 de diciembre",$K$4="en USD miles a 31 de diciembre"),J58/1000,IF(AND($C$4="en USD a 31 de diciembre",$K$4="en USD millones a 31 de diciembre"),J58/1000000,IF(AND($C$4="en USD miles a 31 de diciembre",$K$4="en COP a 31 de diciembre"),(J58*R$5)*1000,IF(AND($C$4="en USD miles a 31 de diciembre",$K$4="en COP miles a 31 de diciembre"),J58*R$5,IF(AND($C$4="en USD miles a 31 de diciembre",$K$4="en COP millones a 31 de diciembre"),(J58*R$5)/1000,IF(AND($C$4="en USD miles a 31 de diciembre",$K$4="en USD a 31 de diciembre"),J58*1000,IF(AND($C$4="en USD miles a 31 de diciembre",$K$4="en USD miles a 31 de diciembre"),J58,IF(AND($C$4="en USD miles a 31 de diciembre",$K$4="en USD millones a 31 de diciembre"),J58/1000,IF(AND($C$4="en USD millones a 31 de diciembre",$K$4="en USD a 31 de diciembre"),J58*1000000,IF(AND($C$4="en USD millones a 31 de diciembre",$K$4="en USD miles a 31 de diciembre"),J58*1000,IF(AND($C$4="en USD millones a 31 de diciembre",$K$4="en USD millones a 31 de diciembre"),J58,IF(AND($C$4="en USD millones a 31 de diciembre",$K$4="en COP a 31 de diciembre"),(J58*R$5)*1000000,IF(AND($C$4="en USD millones a 31 de diciembre",$K$4="en COP miles a 31 de diciembre"),(J58*R$5)*1000,IF(AND($C$4="en USD millones a 31 de diciembre",$K$4="en COP millones a 31 de diciembre"),J58*R$5)))))))))))))))))))))))))))))))))))))</f>
        <v>17.088070695789622</v>
      </c>
    </row>
    <row r="59" spans="2:18" x14ac:dyDescent="0.25">
      <c r="B59" s="5">
        <v>44</v>
      </c>
      <c r="C59" s="238" t="s">
        <v>54</v>
      </c>
      <c r="D59" s="426">
        <v>50369</v>
      </c>
      <c r="E59" s="427">
        <v>50369</v>
      </c>
      <c r="F59" s="427">
        <v>50369</v>
      </c>
      <c r="G59" s="427">
        <v>50369</v>
      </c>
      <c r="H59" s="428">
        <v>50369</v>
      </c>
      <c r="I59" s="427">
        <v>50369</v>
      </c>
      <c r="J59" s="429">
        <v>50369</v>
      </c>
      <c r="K59" s="221"/>
      <c r="L59" s="280">
        <f t="shared" si="34"/>
        <v>26140.863490811334</v>
      </c>
      <c r="M59" s="281">
        <f t="shared" si="35"/>
        <v>21053.225550270432</v>
      </c>
      <c r="N59" s="281">
        <f t="shared" si="36"/>
        <v>15992.849590566033</v>
      </c>
      <c r="O59" s="281">
        <f t="shared" si="37"/>
        <v>16785.694052407598</v>
      </c>
      <c r="P59" s="282">
        <f t="shared" si="38"/>
        <v>16879.691689008043</v>
      </c>
      <c r="Q59" s="281">
        <f t="shared" si="39"/>
        <v>15499.346103546426</v>
      </c>
      <c r="R59" s="283">
        <f t="shared" si="40"/>
        <v>15369.804158504063</v>
      </c>
    </row>
    <row r="60" spans="2:18" x14ac:dyDescent="0.25">
      <c r="B60" s="5">
        <v>45</v>
      </c>
      <c r="C60" s="238" t="s">
        <v>55</v>
      </c>
      <c r="D60" s="426">
        <f>148171+1052693-10654</f>
        <v>1190210</v>
      </c>
      <c r="E60" s="427">
        <f>148171+1030793-10654</f>
        <v>1168310</v>
      </c>
      <c r="F60" s="427">
        <f>100338-10654-1774</f>
        <v>87910</v>
      </c>
      <c r="G60" s="427">
        <v>90206</v>
      </c>
      <c r="H60" s="428">
        <v>98916</v>
      </c>
      <c r="I60" s="427">
        <v>81341</v>
      </c>
      <c r="J60" s="429">
        <f>97233-14430</f>
        <v>82803</v>
      </c>
      <c r="K60" s="221"/>
      <c r="L60" s="280">
        <f t="shared" si="34"/>
        <v>617703.68947961158</v>
      </c>
      <c r="M60" s="281">
        <f t="shared" si="35"/>
        <v>488330.00342743454</v>
      </c>
      <c r="N60" s="281">
        <f t="shared" si="36"/>
        <v>27912.632919189578</v>
      </c>
      <c r="O60" s="281">
        <f t="shared" si="37"/>
        <v>30061.552099336492</v>
      </c>
      <c r="P60" s="282">
        <f t="shared" si="38"/>
        <v>33148.793565683649</v>
      </c>
      <c r="Q60" s="281">
        <f t="shared" si="39"/>
        <v>25029.925378875298</v>
      </c>
      <c r="R60" s="283">
        <f t="shared" si="40"/>
        <v>25266.848532561929</v>
      </c>
    </row>
    <row r="61" spans="2:18" x14ac:dyDescent="0.25">
      <c r="B61" s="5">
        <v>46</v>
      </c>
      <c r="C61" s="238" t="s">
        <v>56</v>
      </c>
      <c r="D61" s="426">
        <f>286735</f>
        <v>286735</v>
      </c>
      <c r="E61" s="427">
        <f>311209</f>
        <v>311209</v>
      </c>
      <c r="F61" s="427">
        <f>870303-34853-15287+326496</f>
        <v>1146659</v>
      </c>
      <c r="G61" s="427">
        <v>1211498</v>
      </c>
      <c r="H61" s="428">
        <v>1269313</v>
      </c>
      <c r="I61" s="427">
        <v>1331982</v>
      </c>
      <c r="J61" s="429">
        <f>552070+(963383-94273)</f>
        <v>1421180</v>
      </c>
      <c r="K61" s="221"/>
      <c r="L61" s="280">
        <f t="shared" si="34"/>
        <v>148811.77893223584</v>
      </c>
      <c r="M61" s="281">
        <f t="shared" si="35"/>
        <v>130079.08178193157</v>
      </c>
      <c r="N61" s="281">
        <f t="shared" si="36"/>
        <v>364079.98806148337</v>
      </c>
      <c r="O61" s="281">
        <f t="shared" si="37"/>
        <v>403737.11554932001</v>
      </c>
      <c r="P61" s="282">
        <f t="shared" si="38"/>
        <v>425372.98927613941</v>
      </c>
      <c r="Q61" s="281">
        <f t="shared" si="39"/>
        <v>409872.14401107776</v>
      </c>
      <c r="R61" s="283">
        <f t="shared" si="40"/>
        <v>433664.71984718385</v>
      </c>
    </row>
    <row r="62" spans="2:18" ht="16.5" thickBot="1" x14ac:dyDescent="0.3">
      <c r="B62" s="5">
        <v>47</v>
      </c>
      <c r="C62" s="243" t="s">
        <v>25</v>
      </c>
      <c r="D62" s="430">
        <v>56151</v>
      </c>
      <c r="E62" s="431">
        <v>69711</v>
      </c>
      <c r="F62" s="431">
        <v>103230</v>
      </c>
      <c r="G62" s="431">
        <v>104366</v>
      </c>
      <c r="H62" s="432">
        <v>78574</v>
      </c>
      <c r="I62" s="431">
        <v>135739</v>
      </c>
      <c r="J62" s="433">
        <v>94273</v>
      </c>
      <c r="K62" s="221"/>
      <c r="L62" s="284">
        <f t="shared" si="34"/>
        <v>29141.647161399815</v>
      </c>
      <c r="M62" s="285">
        <f t="shared" si="35"/>
        <v>29137.791227439538</v>
      </c>
      <c r="N62" s="285">
        <f t="shared" si="36"/>
        <v>32776.943422226599</v>
      </c>
      <c r="O62" s="285">
        <f t="shared" si="37"/>
        <v>34780.435296979711</v>
      </c>
      <c r="P62" s="286">
        <f t="shared" si="38"/>
        <v>26331.769436997318</v>
      </c>
      <c r="Q62" s="285">
        <f t="shared" si="39"/>
        <v>41769.059158396798</v>
      </c>
      <c r="R62" s="287">
        <f t="shared" si="40"/>
        <v>28766.851584003125</v>
      </c>
    </row>
    <row r="63" spans="2:18" ht="17.25" thickTop="1" thickBot="1" x14ac:dyDescent="0.3">
      <c r="B63" s="3">
        <v>48</v>
      </c>
      <c r="C63" s="270" t="s">
        <v>57</v>
      </c>
      <c r="D63" s="248">
        <f>D58+D59+D60+D61+D62</f>
        <v>1583521</v>
      </c>
      <c r="E63" s="249">
        <f t="shared" ref="E63:J63" si="41">E58+E59+E60+E61+E62</f>
        <v>1599655</v>
      </c>
      <c r="F63" s="249">
        <f t="shared" si="41"/>
        <v>1388224</v>
      </c>
      <c r="G63" s="249">
        <v>1456495</v>
      </c>
      <c r="H63" s="250">
        <v>1497228</v>
      </c>
      <c r="I63" s="249">
        <v>1599487</v>
      </c>
      <c r="J63" s="259">
        <f t="shared" si="41"/>
        <v>1648681</v>
      </c>
      <c r="K63" s="221"/>
      <c r="L63" s="248">
        <f t="shared" si="34"/>
        <v>821827.04234416119</v>
      </c>
      <c r="M63" s="249">
        <f t="shared" si="35"/>
        <v>668623.50885699235</v>
      </c>
      <c r="N63" s="249">
        <f t="shared" si="36"/>
        <v>440780.19476292841</v>
      </c>
      <c r="O63" s="249">
        <f t="shared" si="37"/>
        <v>485383.459247978</v>
      </c>
      <c r="P63" s="250">
        <f t="shared" si="38"/>
        <v>501752.01072386059</v>
      </c>
      <c r="Q63" s="249">
        <f t="shared" si="39"/>
        <v>492187.7067466728</v>
      </c>
      <c r="R63" s="259">
        <f t="shared" si="40"/>
        <v>503085.31219294877</v>
      </c>
    </row>
    <row r="64" spans="2:18" ht="5.0999999999999996" customHeight="1" thickBot="1" x14ac:dyDescent="0.3">
      <c r="C64" s="293"/>
      <c r="D64" s="295"/>
      <c r="E64" s="295"/>
      <c r="F64" s="295"/>
      <c r="G64" s="295"/>
      <c r="H64" s="295"/>
      <c r="I64" s="295"/>
      <c r="J64" s="295"/>
      <c r="K64" s="221"/>
      <c r="L64" s="295"/>
      <c r="M64" s="295"/>
      <c r="N64" s="295"/>
      <c r="O64" s="295"/>
      <c r="P64" s="295"/>
      <c r="Q64" s="295"/>
      <c r="R64" s="295"/>
    </row>
    <row r="65" spans="2:18" ht="16.5" thickBot="1" x14ac:dyDescent="0.3">
      <c r="B65" s="3">
        <v>49</v>
      </c>
      <c r="C65" s="296" t="s">
        <v>58</v>
      </c>
      <c r="D65" s="297">
        <f>D55+D63</f>
        <v>1930809</v>
      </c>
      <c r="E65" s="298">
        <f t="shared" ref="E65:J65" si="42">E55+E63</f>
        <v>1962278</v>
      </c>
      <c r="F65" s="298">
        <f t="shared" si="42"/>
        <v>1952355</v>
      </c>
      <c r="G65" s="298">
        <f t="shared" si="42"/>
        <v>2062090</v>
      </c>
      <c r="H65" s="299">
        <f t="shared" si="42"/>
        <v>2123831</v>
      </c>
      <c r="I65" s="298">
        <f t="shared" si="42"/>
        <v>2103761</v>
      </c>
      <c r="J65" s="300">
        <f t="shared" si="42"/>
        <v>2247352</v>
      </c>
      <c r="K65" s="221"/>
      <c r="L65" s="297">
        <f t="shared" ref="L65:R65" si="43">IF(AND($C$4="en COP a 31 de diciembre",$K$4="en COP a 31 de diciembre"),D65,IF(AND($C$4="en COP a 31 de diciembre",$K$4="en COP miles a 31 de diciembre"),D65/1000,IF(AND($C$4="en COP a 31 de diciembre",$K$4="en COP millones a 31 de diciembre"),D65/1000000,(IF(AND($C$4="en COP a 31 de diciembre",$K$4="en USD a 31 de diciembre"),D65/L$5,IF(AND($C$4="en COP a 31 de diciembre",$K$4="en USD miles a 31 de diciembre"),(D65/L$5)/1000,IF(AND($C$4="en COP a 31 de diciembre",$K$4="en USD millones a 31 de diciembre"),(D65/L$5)/1000000,IF(AND($C$4="en COP miles a 31 de diciembre",$K$4="en COP a 31 de diciembre"),D65/1000,IF(AND($C$4="en COP miles a 31 de diciembre",$K$4="en COP miles a 31 de diciembre"),D65,IF(AND($C$4="en COP miles a 31 de diciembre",$K$4="en COP millones a 31 de diciembre"),D65/1000,IF(AND($C$4="en COP miles a 31 de diciembre",$K$4="en USD a 31 de diciembre"),(D65*1000)/L$5,IF(AND($C$4="en COP miles a 31 de diciembre",$K$4="en USD miles a 31 de diciembre"),D65/L$5,IF(AND($C$4="en COP miles a 31 de diciembre",$K$4="en USD millones a 31 de diciembre"),((D65*1000)/L$5)/1000000,IF(AND($C$4="en COP millones a 31 de diciembre",$K$4="en COP a 31 de diciembre"),D65*1000000,IF(AND($C$4="en COP millones a 31 de diciembre",$K$4="en COP miles a 31 de diciembre"),D65*1000,IF(AND($C$4="en COP millones a 31 de diciembre",$K$4="en COP millones a 31 de diciembre"),D65,IF(AND($C$4="en COP millones a 31 de diciembre",$K$4="en USD a 31 de diciembre"),(D65*1000000)/L$5,IF(AND($C$4="en COP millones a 31 de diciembre",$K$4="en USD miles a 31 de diciembre"),(D65*1000)/L$5,IF(AND($C$4="en COP millones a 31 de diciembre",$K$4="en USD millones a 31 de diciembre"),D65/L$5,IF(AND($C$4="en USD a 31 de diciembre",$K$4="en COP a 31 de diciembre"),D65*L$5,IF(AND($C$4="en USD a 31 de diciembre",$K$4="en COP miles a 31 de diciembre"),(D65*L$5)/1000,IF(AND($C$4="en USD a 31 de diciembre",$K$4="en COP millones a 31 de diciembre"),(D65*L$5)/1000000,IF(AND($C$4="en USD a 31 de diciembre",$K$4="en USD a 31 de diciembre"),D65,IF(AND($C$4="en USD a 31 de diciembre",$K$4="en USD miles a 31 de diciembre"),D65/1000,IF(AND($C$4="en USD a 31 de diciembre",$K$4="en USD millones a 31 de diciembre"),D65/1000000,IF(AND($C$4="en USD miles a 31 de diciembre",$K$4="en COP a 31 de diciembre"),(D65*L$5)*1000,IF(AND($C$4="en USD miles a 31 de diciembre",$K$4="en COP miles a 31 de diciembre"),D65*L$5,IF(AND($C$4="en USD miles a 31 de diciembre",$K$4="en COP millones a 31 de diciembre"),(D65*L$5)/1000,IF(AND($C$4="en USD miles a 31 de diciembre",$K$4="en USD a 31 de diciembre"),D65*1000,IF(AND($C$4="en USD miles a 31 de diciembre",$K$4="en USD miles a 31 de diciembre"),D65,IF(AND($C$4="en USD miles a 31 de diciembre",$K$4="en USD millones a 31 de diciembre"),D65/1000,IF(AND($C$4="en USD millones a 31 de diciembre",$K$4="en USD a 31 de diciembre"),D65*1000000,IF(AND($C$4="en USD millones a 31 de diciembre",$K$4="en USD miles a 31 de diciembre"),D65*1000,IF(AND($C$4="en USD millones a 31 de diciembre",$K$4="en USD millones a 31 de diciembre"),D65,IF(AND($C$4="en USD millones a 31 de diciembre",$K$4="en COP a 31 de diciembre"),(D65*L$5)*1000000,IF(AND($C$4="en USD millones a 31 de diciembre",$K$4="en COP miles a 31 de diciembre"),(D65*L$5)*1000,IF(AND($C$4="en USD millones a 31 de diciembre",$K$4="en COP millones a 31 de diciembre"),D65*L$5)))))))))))))))))))))))))))))))))))))</f>
        <v>1002065.0498487153</v>
      </c>
      <c r="M65" s="298">
        <f t="shared" si="43"/>
        <v>820192.60510102566</v>
      </c>
      <c r="N65" s="298">
        <f t="shared" si="43"/>
        <v>619899.53865253518</v>
      </c>
      <c r="O65" s="298">
        <f t="shared" si="43"/>
        <v>687200.695835319</v>
      </c>
      <c r="P65" s="299">
        <f t="shared" si="43"/>
        <v>711739.61126005359</v>
      </c>
      <c r="Q65" s="298">
        <f t="shared" si="43"/>
        <v>647360.87391337799</v>
      </c>
      <c r="R65" s="300">
        <f t="shared" si="43"/>
        <v>685766.24739864643</v>
      </c>
    </row>
    <row r="66" spans="2:18" ht="5.0999999999999996" customHeight="1" thickBot="1" x14ac:dyDescent="0.3">
      <c r="C66" s="221"/>
      <c r="D66" s="230"/>
      <c r="E66" s="230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</row>
    <row r="67" spans="2:18" ht="19.5" thickBot="1" x14ac:dyDescent="0.35">
      <c r="C67" s="301" t="s">
        <v>59</v>
      </c>
      <c r="D67" s="230"/>
      <c r="E67" s="230"/>
      <c r="F67" s="221"/>
      <c r="G67" s="221"/>
      <c r="H67" s="221"/>
      <c r="I67" s="221"/>
      <c r="J67" s="302"/>
      <c r="K67" s="221"/>
      <c r="L67" s="221"/>
      <c r="M67" s="221"/>
      <c r="N67" s="221"/>
      <c r="O67" s="221"/>
      <c r="P67" s="221"/>
      <c r="Q67" s="221"/>
      <c r="R67" s="302"/>
    </row>
    <row r="68" spans="2:18" x14ac:dyDescent="0.25">
      <c r="B68" s="5">
        <v>50</v>
      </c>
      <c r="C68" s="271" t="s">
        <v>60</v>
      </c>
      <c r="D68" s="230"/>
      <c r="E68" s="434">
        <v>0</v>
      </c>
      <c r="F68" s="423">
        <v>0</v>
      </c>
      <c r="G68" s="423">
        <v>0</v>
      </c>
      <c r="H68" s="424">
        <v>0</v>
      </c>
      <c r="I68" s="423">
        <v>38338</v>
      </c>
      <c r="J68" s="425">
        <v>34222</v>
      </c>
      <c r="K68" s="221"/>
      <c r="L68" s="221"/>
      <c r="M68" s="303">
        <f t="shared" ref="M68:M70" si="44">IF(AND($C$4="en COP a 31 de diciembre",$K$4="en COP a 31 de diciembre"),E68,IF(AND($C$4="en COP a 31 de diciembre",$K$4="en COP miles a 31 de diciembre"),E68/1000,IF(AND($C$4="en COP a 31 de diciembre",$K$4="en COP millones a 31 de diciembre"),E68/1000000,(IF(AND($C$4="en COP a 31 de diciembre",$K$4="en USD a 31 de diciembre"),E68/M$5,IF(AND($C$4="en COP a 31 de diciembre",$K$4="en USD miles a 31 de diciembre"),(E68/M$5)/1000,IF(AND($C$4="en COP a 31 de diciembre",$K$4="en USD millones a 31 de diciembre"),(E68/M$5)/1000000,IF(AND($C$4="en COP miles a 31 de diciembre",$K$4="en COP a 31 de diciembre"),E68/1000,IF(AND($C$4="en COP miles a 31 de diciembre",$K$4="en COP miles a 31 de diciembre"),E68,IF(AND($C$4="en COP miles a 31 de diciembre",$K$4="en COP millones a 31 de diciembre"),E68/1000,IF(AND($C$4="en COP miles a 31 de diciembre",$K$4="en USD a 31 de diciembre"),(E68*1000)/M$5,IF(AND($C$4="en COP miles a 31 de diciembre",$K$4="en USD miles a 31 de diciembre"),E68/M$5,IF(AND($C$4="en COP miles a 31 de diciembre",$K$4="en USD millones a 31 de diciembre"),((E68*1000)/M$5)/1000000,IF(AND($C$4="en COP millones a 31 de diciembre",$K$4="en COP a 31 de diciembre"),E68*1000000,IF(AND($C$4="en COP millones a 31 de diciembre",$K$4="en COP miles a 31 de diciembre"),E68*1000,IF(AND($C$4="en COP millones a 31 de diciembre",$K$4="en COP millones a 31 de diciembre"),E68,IF(AND($C$4="en COP millones a 31 de diciembre",$K$4="en USD a 31 de diciembre"),(E68*1000000)/M$5,IF(AND($C$4="en COP millones a 31 de diciembre",$K$4="en USD miles a 31 de diciembre"),(E68*1000)/M$5,IF(AND($C$4="en COP millones a 31 de diciembre",$K$4="en USD millones a 31 de diciembre"),E68/M$5,IF(AND($C$4="en USD a 31 de diciembre",$K$4="en COP a 31 de diciembre"),E68*M$5,IF(AND($C$4="en USD a 31 de diciembre",$K$4="en COP miles a 31 de diciembre"),(E68*M$5)/1000,IF(AND($C$4="en USD a 31 de diciembre",$K$4="en COP millones a 31 de diciembre"),(E68*M$5)/1000000,IF(AND($C$4="en USD a 31 de diciembre",$K$4="en USD a 31 de diciembre"),E68,IF(AND($C$4="en USD a 31 de diciembre",$K$4="en USD miles a 31 de diciembre"),E68/1000,IF(AND($C$4="en USD a 31 de diciembre",$K$4="en USD millones a 31 de diciembre"),E68/1000000,IF(AND($C$4="en USD miles a 31 de diciembre",$K$4="en COP a 31 de diciembre"),(E68*M$5)*1000,IF(AND($C$4="en USD miles a 31 de diciembre",$K$4="en COP miles a 31 de diciembre"),E68*M$5,IF(AND($C$4="en USD miles a 31 de diciembre",$K$4="en COP millones a 31 de diciembre"),(E68*M$5)/1000,IF(AND($C$4="en USD miles a 31 de diciembre",$K$4="en USD a 31 de diciembre"),E68*1000,IF(AND($C$4="en USD miles a 31 de diciembre",$K$4="en USD miles a 31 de diciembre"),E68,IF(AND($C$4="en USD miles a 31 de diciembre",$K$4="en USD millones a 31 de diciembre"),E68/1000,IF(AND($C$4="en USD millones a 31 de diciembre",$K$4="en USD a 31 de diciembre"),E68*1000000,IF(AND($C$4="en USD millones a 31 de diciembre",$K$4="en USD miles a 31 de diciembre"),E68*1000,IF(AND($C$4="en USD millones a 31 de diciembre",$K$4="en USD millones a 31 de diciembre"),E68,IF(AND($C$4="en USD millones a 31 de diciembre",$K$4="en COP a 31 de diciembre"),(E68*M$5)*1000000,IF(AND($C$4="en USD millones a 31 de diciembre",$K$4="en COP miles a 31 de diciembre"),(E68*M$5)*1000,IF(AND($C$4="en USD millones a 31 de diciembre",$K$4="en COP millones a 31 de diciembre"),E68*M$5)))))))))))))))))))))))))))))))))))))</f>
        <v>0</v>
      </c>
      <c r="N68" s="277">
        <f t="shared" ref="N68:N70" si="45">IF(AND($C$4="en COP a 31 de diciembre",$K$4="en COP a 31 de diciembre"),F68,IF(AND($C$4="en COP a 31 de diciembre",$K$4="en COP miles a 31 de diciembre"),F68/1000,IF(AND($C$4="en COP a 31 de diciembre",$K$4="en COP millones a 31 de diciembre"),F68/1000000,(IF(AND($C$4="en COP a 31 de diciembre",$K$4="en USD a 31 de diciembre"),F68/N$5,IF(AND($C$4="en COP a 31 de diciembre",$K$4="en USD miles a 31 de diciembre"),(F68/N$5)/1000,IF(AND($C$4="en COP a 31 de diciembre",$K$4="en USD millones a 31 de diciembre"),(F68/N$5)/1000000,IF(AND($C$4="en COP miles a 31 de diciembre",$K$4="en COP a 31 de diciembre"),F68/1000,IF(AND($C$4="en COP miles a 31 de diciembre",$K$4="en COP miles a 31 de diciembre"),F68,IF(AND($C$4="en COP miles a 31 de diciembre",$K$4="en COP millones a 31 de diciembre"),F68/1000,IF(AND($C$4="en COP miles a 31 de diciembre",$K$4="en USD a 31 de diciembre"),(F68*1000)/N$5,IF(AND($C$4="en COP miles a 31 de diciembre",$K$4="en USD miles a 31 de diciembre"),F68/N$5,IF(AND($C$4="en COP miles a 31 de diciembre",$K$4="en USD millones a 31 de diciembre"),((F68*1000)/N$5)/1000000,IF(AND($C$4="en COP millones a 31 de diciembre",$K$4="en COP a 31 de diciembre"),F68*1000000,IF(AND($C$4="en COP millones a 31 de diciembre",$K$4="en COP miles a 31 de diciembre"),F68*1000,IF(AND($C$4="en COP millones a 31 de diciembre",$K$4="en COP millones a 31 de diciembre"),F68,IF(AND($C$4="en COP millones a 31 de diciembre",$K$4="en USD a 31 de diciembre"),(F68*1000000)/N$5,IF(AND($C$4="en COP millones a 31 de diciembre",$K$4="en USD miles a 31 de diciembre"),(F68*1000)/N$5,IF(AND($C$4="en COP millones a 31 de diciembre",$K$4="en USD millones a 31 de diciembre"),F68/N$5,IF(AND($C$4="en USD a 31 de diciembre",$K$4="en COP a 31 de diciembre"),F68*N$5,IF(AND($C$4="en USD a 31 de diciembre",$K$4="en COP miles a 31 de diciembre"),(F68*N$5)/1000,IF(AND($C$4="en USD a 31 de diciembre",$K$4="en COP millones a 31 de diciembre"),(F68*N$5)/1000000,IF(AND($C$4="en USD a 31 de diciembre",$K$4="en USD a 31 de diciembre"),F68,IF(AND($C$4="en USD a 31 de diciembre",$K$4="en USD miles a 31 de diciembre"),F68/1000,IF(AND($C$4="en USD a 31 de diciembre",$K$4="en USD millones a 31 de diciembre"),F68/1000000,IF(AND($C$4="en USD miles a 31 de diciembre",$K$4="en COP a 31 de diciembre"),(F68*N$5)*1000,IF(AND($C$4="en USD miles a 31 de diciembre",$K$4="en COP miles a 31 de diciembre"),F68*N$5,IF(AND($C$4="en USD miles a 31 de diciembre",$K$4="en COP millones a 31 de diciembre"),(F68*N$5)/1000,IF(AND($C$4="en USD miles a 31 de diciembre",$K$4="en USD a 31 de diciembre"),F68*1000,IF(AND($C$4="en USD miles a 31 de diciembre",$K$4="en USD miles a 31 de diciembre"),F68,IF(AND($C$4="en USD miles a 31 de diciembre",$K$4="en USD millones a 31 de diciembre"),F68/1000,IF(AND($C$4="en USD millones a 31 de diciembre",$K$4="en USD a 31 de diciembre"),F68*1000000,IF(AND($C$4="en USD millones a 31 de diciembre",$K$4="en USD miles a 31 de diciembre"),F68*1000,IF(AND($C$4="en USD millones a 31 de diciembre",$K$4="en USD millones a 31 de diciembre"),F68,IF(AND($C$4="en USD millones a 31 de diciembre",$K$4="en COP a 31 de diciembre"),(F68*N$5)*1000000,IF(AND($C$4="en USD millones a 31 de diciembre",$K$4="en COP miles a 31 de diciembre"),(F68*N$5)*1000,IF(AND($C$4="en USD millones a 31 de diciembre",$K$4="en COP millones a 31 de diciembre"),F68*N$5)))))))))))))))))))))))))))))))))))))</f>
        <v>0</v>
      </c>
      <c r="O68" s="277">
        <f t="shared" ref="O68:O70" si="46">IF(AND($C$4="en COP a 31 de diciembre",$K$4="en COP a 31 de diciembre"),G68,IF(AND($C$4="en COP a 31 de diciembre",$K$4="en COP miles a 31 de diciembre"),G68/1000,IF(AND($C$4="en COP a 31 de diciembre",$K$4="en COP millones a 31 de diciembre"),G68/1000000,(IF(AND($C$4="en COP a 31 de diciembre",$K$4="en USD a 31 de diciembre"),G68/O$5,IF(AND($C$4="en COP a 31 de diciembre",$K$4="en USD miles a 31 de diciembre"),(G68/O$5)/1000,IF(AND($C$4="en COP a 31 de diciembre",$K$4="en USD millones a 31 de diciembre"),(G68/O$5)/1000000,IF(AND($C$4="en COP miles a 31 de diciembre",$K$4="en COP a 31 de diciembre"),G68/1000,IF(AND($C$4="en COP miles a 31 de diciembre",$K$4="en COP miles a 31 de diciembre"),G68,IF(AND($C$4="en COP miles a 31 de diciembre",$K$4="en COP millones a 31 de diciembre"),G68/1000,IF(AND($C$4="en COP miles a 31 de diciembre",$K$4="en USD a 31 de diciembre"),(G68*1000)/O$5,IF(AND($C$4="en COP miles a 31 de diciembre",$K$4="en USD miles a 31 de diciembre"),G68/O$5,IF(AND($C$4="en COP miles a 31 de diciembre",$K$4="en USD millones a 31 de diciembre"),((G68*1000)/O$5)/1000000,IF(AND($C$4="en COP millones a 31 de diciembre",$K$4="en COP a 31 de diciembre"),G68*1000000,IF(AND($C$4="en COP millones a 31 de diciembre",$K$4="en COP miles a 31 de diciembre"),G68*1000,IF(AND($C$4="en COP millones a 31 de diciembre",$K$4="en COP millones a 31 de diciembre"),G68,IF(AND($C$4="en COP millones a 31 de diciembre",$K$4="en USD a 31 de diciembre"),(G68*1000000)/O$5,IF(AND($C$4="en COP millones a 31 de diciembre",$K$4="en USD miles a 31 de diciembre"),(G68*1000)/O$5,IF(AND($C$4="en COP millones a 31 de diciembre",$K$4="en USD millones a 31 de diciembre"),G68/O$5,IF(AND($C$4="en USD a 31 de diciembre",$K$4="en COP a 31 de diciembre"),G68*O$5,IF(AND($C$4="en USD a 31 de diciembre",$K$4="en COP miles a 31 de diciembre"),(G68*O$5)/1000,IF(AND($C$4="en USD a 31 de diciembre",$K$4="en COP millones a 31 de diciembre"),(G68*O$5)/1000000,IF(AND($C$4="en USD a 31 de diciembre",$K$4="en USD a 31 de diciembre"),G68,IF(AND($C$4="en USD a 31 de diciembre",$K$4="en USD miles a 31 de diciembre"),G68/1000,IF(AND($C$4="en USD a 31 de diciembre",$K$4="en USD millones a 31 de diciembre"),G68/1000000,IF(AND($C$4="en USD miles a 31 de diciembre",$K$4="en COP a 31 de diciembre"),(G68*O$5)*1000,IF(AND($C$4="en USD miles a 31 de diciembre",$K$4="en COP miles a 31 de diciembre"),G68*O$5,IF(AND($C$4="en USD miles a 31 de diciembre",$K$4="en COP millones a 31 de diciembre"),(G68*O$5)/1000,IF(AND($C$4="en USD miles a 31 de diciembre",$K$4="en USD a 31 de diciembre"),G68*1000,IF(AND($C$4="en USD miles a 31 de diciembre",$K$4="en USD miles a 31 de diciembre"),G68,IF(AND($C$4="en USD miles a 31 de diciembre",$K$4="en USD millones a 31 de diciembre"),G68/1000,IF(AND($C$4="en USD millones a 31 de diciembre",$K$4="en USD a 31 de diciembre"),G68*1000000,IF(AND($C$4="en USD millones a 31 de diciembre",$K$4="en USD miles a 31 de diciembre"),G68*1000,IF(AND($C$4="en USD millones a 31 de diciembre",$K$4="en USD millones a 31 de diciembre"),G68,IF(AND($C$4="en USD millones a 31 de diciembre",$K$4="en COP a 31 de diciembre"),(G68*O$5)*1000000,IF(AND($C$4="en USD millones a 31 de diciembre",$K$4="en COP miles a 31 de diciembre"),(G68*O$5)*1000,IF(AND($C$4="en USD millones a 31 de diciembre",$K$4="en COP millones a 31 de diciembre"),G68*O$5)))))))))))))))))))))))))))))))))))))</f>
        <v>0</v>
      </c>
      <c r="P68" s="278">
        <f t="shared" ref="P68:P70" si="47">IF(AND($C$4="en COP a 31 de diciembre",$K$4="en COP a 31 de diciembre"),H68,IF(AND($C$4="en COP a 31 de diciembre",$K$4="en COP miles a 31 de diciembre"),H68/1000,IF(AND($C$4="en COP a 31 de diciembre",$K$4="en COP millones a 31 de diciembre"),H68/1000000,(IF(AND($C$4="en COP a 31 de diciembre",$K$4="en USD a 31 de diciembre"),H68/P$5,IF(AND($C$4="en COP a 31 de diciembre",$K$4="en USD miles a 31 de diciembre"),(H68/P$5)/1000,IF(AND($C$4="en COP a 31 de diciembre",$K$4="en USD millones a 31 de diciembre"),(H68/P$5)/1000000,IF(AND($C$4="en COP miles a 31 de diciembre",$K$4="en COP a 31 de diciembre"),H68/1000,IF(AND($C$4="en COP miles a 31 de diciembre",$K$4="en COP miles a 31 de diciembre"),H68,IF(AND($C$4="en COP miles a 31 de diciembre",$K$4="en COP millones a 31 de diciembre"),H68/1000,IF(AND($C$4="en COP miles a 31 de diciembre",$K$4="en USD a 31 de diciembre"),(H68*1000)/P$5,IF(AND($C$4="en COP miles a 31 de diciembre",$K$4="en USD miles a 31 de diciembre"),H68/P$5,IF(AND($C$4="en COP miles a 31 de diciembre",$K$4="en USD millones a 31 de diciembre"),((H68*1000)/P$5)/1000000,IF(AND($C$4="en COP millones a 31 de diciembre",$K$4="en COP a 31 de diciembre"),H68*1000000,IF(AND($C$4="en COP millones a 31 de diciembre",$K$4="en COP miles a 31 de diciembre"),H68*1000,IF(AND($C$4="en COP millones a 31 de diciembre",$K$4="en COP millones a 31 de diciembre"),H68,IF(AND($C$4="en COP millones a 31 de diciembre",$K$4="en USD a 31 de diciembre"),(H68*1000000)/P$5,IF(AND($C$4="en COP millones a 31 de diciembre",$K$4="en USD miles a 31 de diciembre"),(H68*1000)/P$5,IF(AND($C$4="en COP millones a 31 de diciembre",$K$4="en USD millones a 31 de diciembre"),H68/P$5,IF(AND($C$4="en USD a 31 de diciembre",$K$4="en COP a 31 de diciembre"),H68*P$5,IF(AND($C$4="en USD a 31 de diciembre",$K$4="en COP miles a 31 de diciembre"),(H68*P$5)/1000,IF(AND($C$4="en USD a 31 de diciembre",$K$4="en COP millones a 31 de diciembre"),(H68*P$5)/1000000,IF(AND($C$4="en USD a 31 de diciembre",$K$4="en USD a 31 de diciembre"),H68,IF(AND($C$4="en USD a 31 de diciembre",$K$4="en USD miles a 31 de diciembre"),H68/1000,IF(AND($C$4="en USD a 31 de diciembre",$K$4="en USD millones a 31 de diciembre"),H68/1000000,IF(AND($C$4="en USD miles a 31 de diciembre",$K$4="en COP a 31 de diciembre"),(H68*P$5)*1000,IF(AND($C$4="en USD miles a 31 de diciembre",$K$4="en COP miles a 31 de diciembre"),H68*P$5,IF(AND($C$4="en USD miles a 31 de diciembre",$K$4="en COP millones a 31 de diciembre"),(H68*P$5)/1000,IF(AND($C$4="en USD miles a 31 de diciembre",$K$4="en USD a 31 de diciembre"),H68*1000,IF(AND($C$4="en USD miles a 31 de diciembre",$K$4="en USD miles a 31 de diciembre"),H68,IF(AND($C$4="en USD miles a 31 de diciembre",$K$4="en USD millones a 31 de diciembre"),H68/1000,IF(AND($C$4="en USD millones a 31 de diciembre",$K$4="en USD a 31 de diciembre"),H68*1000000,IF(AND($C$4="en USD millones a 31 de diciembre",$K$4="en USD miles a 31 de diciembre"),H68*1000,IF(AND($C$4="en USD millones a 31 de diciembre",$K$4="en USD millones a 31 de diciembre"),H68,IF(AND($C$4="en USD millones a 31 de diciembre",$K$4="en COP a 31 de diciembre"),(H68*P$5)*1000000,IF(AND($C$4="en USD millones a 31 de diciembre",$K$4="en COP miles a 31 de diciembre"),(H68*P$5)*1000,IF(AND($C$4="en USD millones a 31 de diciembre",$K$4="en COP millones a 31 de diciembre"),H68*P$5)))))))))))))))))))))))))))))))))))))</f>
        <v>0</v>
      </c>
      <c r="Q68" s="277">
        <f t="shared" ref="Q68:Q70" si="48">IF(AND($C$4="en COP a 31 de diciembre",$K$4="en COP a 31 de diciembre"),I68,IF(AND($C$4="en COP a 31 de diciembre",$K$4="en COP miles a 31 de diciembre"),I68/1000,IF(AND($C$4="en COP a 31 de diciembre",$K$4="en COP millones a 31 de diciembre"),I68/1000000,(IF(AND($C$4="en COP a 31 de diciembre",$K$4="en USD a 31 de diciembre"),I68/Q$5,IF(AND($C$4="en COP a 31 de diciembre",$K$4="en USD miles a 31 de diciembre"),(I68/Q$5)/1000,IF(AND($C$4="en COP a 31 de diciembre",$K$4="en USD millones a 31 de diciembre"),(I68/Q$5)/1000000,IF(AND($C$4="en COP miles a 31 de diciembre",$K$4="en COP a 31 de diciembre"),I68/1000,IF(AND($C$4="en COP miles a 31 de diciembre",$K$4="en COP miles a 31 de diciembre"),I68,IF(AND($C$4="en COP miles a 31 de diciembre",$K$4="en COP millones a 31 de diciembre"),I68/1000,IF(AND($C$4="en COP miles a 31 de diciembre",$K$4="en USD a 31 de diciembre"),(I68*1000)/Q$5,IF(AND($C$4="en COP miles a 31 de diciembre",$K$4="en USD miles a 31 de diciembre"),I68/Q$5,IF(AND($C$4="en COP miles a 31 de diciembre",$K$4="en USD millones a 31 de diciembre"),((I68*1000)/Q$5)/1000000,IF(AND($C$4="en COP millones a 31 de diciembre",$K$4="en COP a 31 de diciembre"),I68*1000000,IF(AND($C$4="en COP millones a 31 de diciembre",$K$4="en COP miles a 31 de diciembre"),I68*1000,IF(AND($C$4="en COP millones a 31 de diciembre",$K$4="en COP millones a 31 de diciembre"),I68,IF(AND($C$4="en COP millones a 31 de diciembre",$K$4="en USD a 31 de diciembre"),(I68*1000000)/Q$5,IF(AND($C$4="en COP millones a 31 de diciembre",$K$4="en USD miles a 31 de diciembre"),(I68*1000)/Q$5,IF(AND($C$4="en COP millones a 31 de diciembre",$K$4="en USD millones a 31 de diciembre"),I68/Q$5,IF(AND($C$4="en USD a 31 de diciembre",$K$4="en COP a 31 de diciembre"),I68*Q$5,IF(AND($C$4="en USD a 31 de diciembre",$K$4="en COP miles a 31 de diciembre"),(I68*Q$5)/1000,IF(AND($C$4="en USD a 31 de diciembre",$K$4="en COP millones a 31 de diciembre"),(I68*Q$5)/1000000,IF(AND($C$4="en USD a 31 de diciembre",$K$4="en USD a 31 de diciembre"),I68,IF(AND($C$4="en USD a 31 de diciembre",$K$4="en USD miles a 31 de diciembre"),I68/1000,IF(AND($C$4="en USD a 31 de diciembre",$K$4="en USD millones a 31 de diciembre"),I68/1000000,IF(AND($C$4="en USD miles a 31 de diciembre",$K$4="en COP a 31 de diciembre"),(I68*Q$5)*1000,IF(AND($C$4="en USD miles a 31 de diciembre",$K$4="en COP miles a 31 de diciembre"),I68*Q$5,IF(AND($C$4="en USD miles a 31 de diciembre",$K$4="en COP millones a 31 de diciembre"),(I68*Q$5)/1000,IF(AND($C$4="en USD miles a 31 de diciembre",$K$4="en USD a 31 de diciembre"),I68*1000,IF(AND($C$4="en USD miles a 31 de diciembre",$K$4="en USD miles a 31 de diciembre"),I68,IF(AND($C$4="en USD miles a 31 de diciembre",$K$4="en USD millones a 31 de diciembre"),I68/1000,IF(AND($C$4="en USD millones a 31 de diciembre",$K$4="en USD a 31 de diciembre"),I68*1000000,IF(AND($C$4="en USD millones a 31 de diciembre",$K$4="en USD miles a 31 de diciembre"),I68*1000,IF(AND($C$4="en USD millones a 31 de diciembre",$K$4="en USD millones a 31 de diciembre"),I68,IF(AND($C$4="en USD millones a 31 de diciembre",$K$4="en COP a 31 de diciembre"),(I68*Q$5)*1000000,IF(AND($C$4="en USD millones a 31 de diciembre",$K$4="en COP miles a 31 de diciembre"),(I68*Q$5)*1000,IF(AND($C$4="en USD millones a 31 de diciembre",$K$4="en COP millones a 31 de diciembre"),I68*Q$5)))))))))))))))))))))))))))))))))))))</f>
        <v>11797.215170397723</v>
      </c>
      <c r="R68" s="279">
        <f t="shared" ref="R68:R70" si="49">IF(AND($C$4="en COP a 31 de diciembre",$K$4="en COP a 31 de diciembre"),J68,IF(AND($C$4="en COP a 31 de diciembre",$K$4="en COP miles a 31 de diciembre"),J68/1000,IF(AND($C$4="en COP a 31 de diciembre",$K$4="en COP millones a 31 de diciembre"),J68/1000000,(IF(AND($C$4="en COP a 31 de diciembre",$K$4="en USD a 31 de diciembre"),J68/R$5,IF(AND($C$4="en COP a 31 de diciembre",$K$4="en USD miles a 31 de diciembre"),(J68/R$5)/1000,IF(AND($C$4="en COP a 31 de diciembre",$K$4="en USD millones a 31 de diciembre"),(J68/R$5)/1000000,IF(AND($C$4="en COP miles a 31 de diciembre",$K$4="en COP a 31 de diciembre"),J68/1000,IF(AND($C$4="en COP miles a 31 de diciembre",$K$4="en COP miles a 31 de diciembre"),J68,IF(AND($C$4="en COP miles a 31 de diciembre",$K$4="en COP millones a 31 de diciembre"),J68/1000,IF(AND($C$4="en COP miles a 31 de diciembre",$K$4="en USD a 31 de diciembre"),(J68*1000)/R$5,IF(AND($C$4="en COP miles a 31 de diciembre",$K$4="en USD miles a 31 de diciembre"),J68/R$5,IF(AND($C$4="en COP miles a 31 de diciembre",$K$4="en USD millones a 31 de diciembre"),((J68*1000)/R$5)/1000000,IF(AND($C$4="en COP millones a 31 de diciembre",$K$4="en COP a 31 de diciembre"),J68*1000000,IF(AND($C$4="en COP millones a 31 de diciembre",$K$4="en COP miles a 31 de diciembre"),J68*1000,IF(AND($C$4="en COP millones a 31 de diciembre",$K$4="en COP millones a 31 de diciembre"),J68,IF(AND($C$4="en COP millones a 31 de diciembre",$K$4="en USD a 31 de diciembre"),(J68*1000000)/R$5,IF(AND($C$4="en COP millones a 31 de diciembre",$K$4="en USD miles a 31 de diciembre"),(J68*1000)/R$5,IF(AND($C$4="en COP millones a 31 de diciembre",$K$4="en USD millones a 31 de diciembre"),J68/R$5,IF(AND($C$4="en USD a 31 de diciembre",$K$4="en COP a 31 de diciembre"),J68*R$5,IF(AND($C$4="en USD a 31 de diciembre",$K$4="en COP miles a 31 de diciembre"),(J68*R$5)/1000,IF(AND($C$4="en USD a 31 de diciembre",$K$4="en COP millones a 31 de diciembre"),(J68*R$5)/1000000,IF(AND($C$4="en USD a 31 de diciembre",$K$4="en USD a 31 de diciembre"),J68,IF(AND($C$4="en USD a 31 de diciembre",$K$4="en USD miles a 31 de diciembre"),J68/1000,IF(AND($C$4="en USD a 31 de diciembre",$K$4="en USD millones a 31 de diciembre"),J68/1000000,IF(AND($C$4="en USD miles a 31 de diciembre",$K$4="en COP a 31 de diciembre"),(J68*R$5)*1000,IF(AND($C$4="en USD miles a 31 de diciembre",$K$4="en COP miles a 31 de diciembre"),J68*R$5,IF(AND($C$4="en USD miles a 31 de diciembre",$K$4="en COP millones a 31 de diciembre"),(J68*R$5)/1000,IF(AND($C$4="en USD miles a 31 de diciembre",$K$4="en USD a 31 de diciembre"),J68*1000,IF(AND($C$4="en USD miles a 31 de diciembre",$K$4="en USD miles a 31 de diciembre"),J68,IF(AND($C$4="en USD miles a 31 de diciembre",$K$4="en USD millones a 31 de diciembre"),J68/1000,IF(AND($C$4="en USD millones a 31 de diciembre",$K$4="en USD a 31 de diciembre"),J68*1000000,IF(AND($C$4="en USD millones a 31 de diciembre",$K$4="en USD miles a 31 de diciembre"),J68*1000,IF(AND($C$4="en USD millones a 31 de diciembre",$K$4="en USD millones a 31 de diciembre"),J68,IF(AND($C$4="en USD millones a 31 de diciembre",$K$4="en COP a 31 de diciembre"),(J68*R$5)*1000000,IF(AND($C$4="en USD millones a 31 de diciembre",$K$4="en COP miles a 31 de diciembre"),(J68*R$5)*1000,IF(AND($C$4="en USD millones a 31 de diciembre",$K$4="en COP millones a 31 de diciembre"),J68*R$5)))))))))))))))))))))))))))))))))))))</f>
        <v>10442.642059844866</v>
      </c>
    </row>
    <row r="69" spans="2:18" x14ac:dyDescent="0.25">
      <c r="B69" s="5">
        <v>51</v>
      </c>
      <c r="C69" s="304" t="s">
        <v>61</v>
      </c>
      <c r="D69" s="230"/>
      <c r="E69" s="435">
        <v>43331</v>
      </c>
      <c r="F69" s="436">
        <v>109534</v>
      </c>
      <c r="G69" s="436">
        <v>64428</v>
      </c>
      <c r="H69" s="437">
        <v>56997</v>
      </c>
      <c r="I69" s="436">
        <v>31018</v>
      </c>
      <c r="J69" s="438">
        <v>79532</v>
      </c>
      <c r="K69" s="221"/>
      <c r="L69" s="221"/>
      <c r="M69" s="305">
        <f t="shared" si="44"/>
        <v>18111.483577572875</v>
      </c>
      <c r="N69" s="306">
        <f t="shared" si="45"/>
        <v>34778.550041753057</v>
      </c>
      <c r="O69" s="306">
        <f t="shared" si="46"/>
        <v>21470.91854927667</v>
      </c>
      <c r="P69" s="307">
        <f t="shared" si="47"/>
        <v>19100.871313672924</v>
      </c>
      <c r="Q69" s="306">
        <f t="shared" si="48"/>
        <v>9544.7342103238716</v>
      </c>
      <c r="R69" s="308">
        <f t="shared" si="49"/>
        <v>24268.722117456076</v>
      </c>
    </row>
    <row r="70" spans="2:18" ht="16.5" thickBot="1" x14ac:dyDescent="0.3">
      <c r="B70" s="5">
        <v>52</v>
      </c>
      <c r="C70" s="309" t="s">
        <v>62</v>
      </c>
      <c r="D70" s="230"/>
      <c r="E70" s="439">
        <v>32865</v>
      </c>
      <c r="F70" s="440">
        <v>35852</v>
      </c>
      <c r="G70" s="440">
        <v>39683</v>
      </c>
      <c r="H70" s="441">
        <v>37846</v>
      </c>
      <c r="I70" s="440">
        <v>29370</v>
      </c>
      <c r="J70" s="442">
        <v>40967</v>
      </c>
      <c r="K70" s="221"/>
      <c r="L70" s="221"/>
      <c r="M70" s="310">
        <f t="shared" si="44"/>
        <v>13736.906782140559</v>
      </c>
      <c r="N70" s="311">
        <f t="shared" si="45"/>
        <v>11383.502621075928</v>
      </c>
      <c r="O70" s="311">
        <f t="shared" si="46"/>
        <v>13224.536859609892</v>
      </c>
      <c r="P70" s="312">
        <f t="shared" si="47"/>
        <v>12682.975871313673</v>
      </c>
      <c r="Q70" s="311">
        <f t="shared" si="48"/>
        <v>9037.6182783291024</v>
      </c>
      <c r="R70" s="313">
        <f t="shared" si="49"/>
        <v>12500.839146328812</v>
      </c>
    </row>
    <row r="71" spans="2:18" x14ac:dyDescent="0.25">
      <c r="C71" s="8"/>
      <c r="P71" s="9"/>
      <c r="Q71" s="9"/>
      <c r="R71" s="9"/>
    </row>
    <row r="72" spans="2:18" x14ac:dyDescent="0.25">
      <c r="C72" s="10" t="s">
        <v>63</v>
      </c>
      <c r="D72" s="11"/>
      <c r="N72" s="12"/>
      <c r="O72" s="12"/>
      <c r="P72" s="12"/>
      <c r="Q72" s="12"/>
      <c r="R72" s="12"/>
    </row>
    <row r="73" spans="2:18" x14ac:dyDescent="0.25">
      <c r="C73" s="10" t="s">
        <v>64</v>
      </c>
      <c r="N73" s="12"/>
      <c r="O73" s="12"/>
      <c r="P73" s="12"/>
      <c r="Q73" s="12"/>
      <c r="R73" s="12"/>
    </row>
    <row r="74" spans="2:18" x14ac:dyDescent="0.25">
      <c r="C74" s="10" t="s">
        <v>3</v>
      </c>
      <c r="P74" s="7"/>
      <c r="Q74" s="7"/>
      <c r="R74" s="7"/>
    </row>
    <row r="75" spans="2:18" x14ac:dyDescent="0.25">
      <c r="C75" s="10" t="s">
        <v>65</v>
      </c>
      <c r="P75" s="7"/>
      <c r="Q75" s="7"/>
      <c r="R75" s="7"/>
    </row>
    <row r="76" spans="2:18" x14ac:dyDescent="0.25">
      <c r="C76" s="10" t="s">
        <v>66</v>
      </c>
    </row>
    <row r="77" spans="2:18" x14ac:dyDescent="0.25">
      <c r="C77" s="10" t="s">
        <v>4</v>
      </c>
    </row>
    <row r="78" spans="2:18" x14ac:dyDescent="0.25">
      <c r="C78" s="10" t="s">
        <v>10</v>
      </c>
    </row>
    <row r="79" spans="2:18" x14ac:dyDescent="0.25">
      <c r="C79" s="10" t="s">
        <v>67</v>
      </c>
    </row>
    <row r="100" spans="4:10" x14ac:dyDescent="0.25">
      <c r="D100" s="211"/>
      <c r="E100" s="211"/>
      <c r="F100" s="211"/>
      <c r="G100" s="211"/>
      <c r="H100" s="211"/>
      <c r="I100" s="211"/>
      <c r="J100" s="210"/>
    </row>
    <row r="2020" spans="8957:8957" x14ac:dyDescent="0.25">
      <c r="MFM2020" s="203" t="s">
        <v>133</v>
      </c>
    </row>
  </sheetData>
  <sheetProtection formatCells="0"/>
  <dataValidations count="2">
    <dataValidation type="list" allowBlank="1" showInputMessage="1" showErrorMessage="1" sqref="K4 C4" xr:uid="{00000000-0002-0000-0100-000000000000}">
      <formula1>$C$72:$C$77</formula1>
    </dataValidation>
    <dataValidation type="list" allowBlank="1" showInputMessage="1" showErrorMessage="1" sqref="C11" xr:uid="{00000000-0002-0000-0100-000001000000}">
      <formula1>$C$78:$C$79</formula1>
    </dataValidation>
  </dataValidations>
  <printOptions horizontalCentered="1" verticalCentered="1"/>
  <pageMargins left="0.51181102362204722" right="0.51181102362204722" top="0.98425196850393704" bottom="0.98425196850393704" header="0.51181102362204722" footer="0.51181102362204722"/>
  <pageSetup scale="30" orientation="landscape" r:id="rId1"/>
  <headerFooter alignWithMargins="0">
    <oddHeader>&amp;C&amp;F</oddHeader>
  </headerFooter>
  <rowBreaks count="2" manualBreakCount="2">
    <brk id="27" min="1" max="17" man="1"/>
    <brk id="56" min="1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70C0"/>
    <pageSetUpPr fitToPage="1"/>
  </sheetPr>
  <dimension ref="C1:MFM2020"/>
  <sheetViews>
    <sheetView showGridLines="0" zoomScale="55" zoomScaleNormal="55" workbookViewId="0">
      <pane xSplit="3" topLeftCell="D1" activePane="topRight" state="frozen"/>
      <selection pane="topRight" activeCell="H20" sqref="H20"/>
    </sheetView>
  </sheetViews>
  <sheetFormatPr baseColWidth="10" defaultColWidth="10.85546875" defaultRowHeight="15" x14ac:dyDescent="0.25"/>
  <cols>
    <col min="1" max="1" width="6" customWidth="1"/>
    <col min="2" max="2" width="4.85546875" customWidth="1"/>
    <col min="3" max="3" width="61.7109375" customWidth="1"/>
    <col min="4" max="10" width="19" customWidth="1"/>
  </cols>
  <sheetData>
    <row r="1" spans="3:10" ht="15.75" thickBot="1" x14ac:dyDescent="0.3"/>
    <row r="2" spans="3:10" ht="21" thickBot="1" x14ac:dyDescent="0.35">
      <c r="C2" s="471" t="s">
        <v>156</v>
      </c>
    </row>
    <row r="3" spans="3:10" ht="19.5" thickBot="1" x14ac:dyDescent="0.35">
      <c r="C3" s="450" t="s">
        <v>134</v>
      </c>
    </row>
    <row r="4" spans="3:10" ht="19.5" thickBot="1" x14ac:dyDescent="0.3">
      <c r="C4" s="512" t="str">
        <f>CONCATENATE(Data!K4)</f>
        <v>en USD miles a 31 de diciembre</v>
      </c>
      <c r="D4" s="485">
        <v>2014</v>
      </c>
      <c r="E4" s="227">
        <v>2015</v>
      </c>
      <c r="F4" s="227">
        <v>2016</v>
      </c>
      <c r="G4" s="478">
        <v>2017</v>
      </c>
      <c r="H4" s="227">
        <v>2018</v>
      </c>
      <c r="I4" s="229">
        <v>2019</v>
      </c>
      <c r="J4" s="479"/>
    </row>
    <row r="5" spans="3:10" ht="5.25" customHeight="1" thickBot="1" x14ac:dyDescent="0.3">
      <c r="D5" s="480"/>
      <c r="E5" s="480"/>
      <c r="F5" s="480"/>
      <c r="G5" s="480"/>
      <c r="H5" s="480"/>
      <c r="I5" s="480"/>
      <c r="J5" s="480"/>
    </row>
    <row r="6" spans="3:10" ht="21" thickBot="1" x14ac:dyDescent="0.3">
      <c r="C6" s="484" t="s">
        <v>158</v>
      </c>
      <c r="D6" s="481"/>
      <c r="E6" s="481"/>
      <c r="F6" s="481"/>
      <c r="G6" s="481"/>
      <c r="H6" s="481"/>
      <c r="I6" s="481"/>
      <c r="J6" s="481"/>
    </row>
    <row r="7" spans="3:10" ht="15.75" x14ac:dyDescent="0.25">
      <c r="C7" s="472" t="s">
        <v>14</v>
      </c>
      <c r="D7" s="486">
        <f>Data!M15</f>
        <v>51136.905110221276</v>
      </c>
      <c r="E7" s="487">
        <f>Data!N15</f>
        <v>41841.008169628542</v>
      </c>
      <c r="F7" s="487">
        <f>Data!O15</f>
        <v>41913.080570931546</v>
      </c>
      <c r="G7" s="487">
        <f>Data!P15</f>
        <v>44830.093833780164</v>
      </c>
      <c r="H7" s="487">
        <f>Data!Q15</f>
        <v>56025.848142164781</v>
      </c>
      <c r="I7" s="488">
        <f>Data!R15</f>
        <v>54662.907291113595</v>
      </c>
      <c r="J7" s="481"/>
    </row>
    <row r="8" spans="3:10" ht="16.5" thickBot="1" x14ac:dyDescent="0.3">
      <c r="C8" s="473" t="s">
        <v>144</v>
      </c>
      <c r="D8" s="489">
        <f>IF(Data!M68=0,('Resumen Ejecutivo'!E30*'Resumen Ejecutivo'!E21),Data!M68)</f>
        <v>7173.1042575526517</v>
      </c>
      <c r="E8" s="490">
        <f>IF(Data!N68=0,('Resumen Ejecutivo'!F30*'Resumen Ejecutivo'!F21),Data!N68)</f>
        <v>9750.7886747604953</v>
      </c>
      <c r="F8" s="490">
        <f>IF(Data!O68=0,('Resumen Ejecutivo'!G30*'Resumen Ejecutivo'!G21),Data!O68)</f>
        <v>4738.7747422084922</v>
      </c>
      <c r="G8" s="490">
        <f>IF(Data!P68=0,('Resumen Ejecutivo'!H30*'Resumen Ejecutivo'!H21),Data!P68)</f>
        <v>4924.8045213735686</v>
      </c>
      <c r="H8" s="490">
        <f>IF(Data!Q68=0,('Resumen Ejecutivo'!I30*'Resumen Ejecutivo'!I21),Data!Q68)</f>
        <v>11797.215170397723</v>
      </c>
      <c r="I8" s="491">
        <f>IF(Data!R68=0,('Resumen Ejecutivo'!J30*'Resumen Ejecutivo'!J21),Data!R68)</f>
        <v>10442.642059844866</v>
      </c>
      <c r="J8" s="482"/>
    </row>
    <row r="9" spans="3:10" ht="17.25" thickTop="1" thickBot="1" x14ac:dyDescent="0.3">
      <c r="C9" s="475" t="s">
        <v>145</v>
      </c>
      <c r="D9" s="492">
        <f>D7-D8</f>
        <v>43963.800852668624</v>
      </c>
      <c r="E9" s="493">
        <f t="shared" ref="E9:I9" si="0">E7-E8</f>
        <v>32090.219494868048</v>
      </c>
      <c r="F9" s="493">
        <f t="shared" si="0"/>
        <v>37174.305828723052</v>
      </c>
      <c r="G9" s="493">
        <f t="shared" si="0"/>
        <v>39905.289312406596</v>
      </c>
      <c r="H9" s="493">
        <f t="shared" si="0"/>
        <v>44228.63297176706</v>
      </c>
      <c r="I9" s="494">
        <f t="shared" si="0"/>
        <v>44220.265231268728</v>
      </c>
      <c r="J9" s="481"/>
    </row>
    <row r="10" spans="3:10" ht="15.75" x14ac:dyDescent="0.25">
      <c r="C10" s="473" t="s">
        <v>146</v>
      </c>
      <c r="D10" s="495">
        <f>D11+D12+D13</f>
        <v>-10680.234459161038</v>
      </c>
      <c r="E10" s="496">
        <f t="shared" ref="E10:I10" si="1">E11+E12+E13</f>
        <v>-16742.072576376751</v>
      </c>
      <c r="F10" s="496">
        <f t="shared" si="1"/>
        <v>17211.386688375758</v>
      </c>
      <c r="G10" s="496">
        <f t="shared" si="1"/>
        <v>1293.4033862655961</v>
      </c>
      <c r="H10" s="496">
        <f t="shared" si="1"/>
        <v>-9394.8113816550467</v>
      </c>
      <c r="I10" s="497">
        <f t="shared" si="1"/>
        <v>1329.8312788514304</v>
      </c>
      <c r="J10" s="481"/>
    </row>
    <row r="11" spans="3:10" ht="15.75" x14ac:dyDescent="0.25">
      <c r="C11" s="474" t="s">
        <v>147</v>
      </c>
      <c r="D11" s="495">
        <f>(Data!M32+Data!M33)-(Data!L32+Data!L33)</f>
        <v>-4542.74498654333</v>
      </c>
      <c r="E11" s="496">
        <f>(Data!N32+Data!N33)-(Data!M32+Data!M33)</f>
        <v>-26740.105725762594</v>
      </c>
      <c r="F11" s="496">
        <f>(Data!O32+Data!O33)-(Data!N32+Data!N33)</f>
        <v>7335.1891873462591</v>
      </c>
      <c r="G11" s="496">
        <f>(Data!P32+Data!P33)-(Data!O32+Data!O33)</f>
        <v>6513.0988626257385</v>
      </c>
      <c r="H11" s="496">
        <f>(Data!Q32+Data!Q33)-(Data!P32+Data!P33)</f>
        <v>-8792.8267373423369</v>
      </c>
      <c r="I11" s="497">
        <f>(Data!R32+Data!R33)-(Data!Q32+Data!Q33)</f>
        <v>8780.6642674381073</v>
      </c>
      <c r="J11" s="481"/>
    </row>
    <row r="12" spans="3:10" ht="15.75" x14ac:dyDescent="0.25">
      <c r="C12" s="474" t="s">
        <v>148</v>
      </c>
      <c r="D12" s="495">
        <f>Data!M34-Data!L34</f>
        <v>-1803.3656042268558</v>
      </c>
      <c r="E12" s="496">
        <f>Data!N34-Data!M34</f>
        <v>-2129.8113011954883</v>
      </c>
      <c r="F12" s="496">
        <f>Data!O34-Data!N34</f>
        <v>4123.7739229560757</v>
      </c>
      <c r="G12" s="496">
        <f>Data!P34-Data!O34</f>
        <v>-1545.703497625309</v>
      </c>
      <c r="H12" s="496">
        <f>Data!Q34-Data!P34</f>
        <v>979.85847333688434</v>
      </c>
      <c r="I12" s="497">
        <f>Data!R34-Data!Q34</f>
        <v>1044.6024969386272</v>
      </c>
      <c r="J12" s="481"/>
    </row>
    <row r="13" spans="3:10" ht="15.75" x14ac:dyDescent="0.25">
      <c r="C13" s="474" t="s">
        <v>149</v>
      </c>
      <c r="D13" s="495">
        <f>Data!L45-Data!M45</f>
        <v>-4334.1238683908523</v>
      </c>
      <c r="E13" s="496">
        <f>Data!M45-Data!N45</f>
        <v>12127.844450581331</v>
      </c>
      <c r="F13" s="496">
        <f>Data!N45-Data!O45</f>
        <v>5752.4235780734234</v>
      </c>
      <c r="G13" s="496">
        <f>Data!O45-Data!P45</f>
        <v>-3673.9919787348335</v>
      </c>
      <c r="H13" s="496">
        <f>Data!P45-Data!Q45</f>
        <v>-1581.8431176495942</v>
      </c>
      <c r="I13" s="497">
        <f>Data!Q45-Data!R45</f>
        <v>-8495.4354855253041</v>
      </c>
      <c r="J13" s="481"/>
    </row>
    <row r="14" spans="3:10" ht="16.5" thickBot="1" x14ac:dyDescent="0.3">
      <c r="C14" s="473" t="s">
        <v>150</v>
      </c>
      <c r="D14" s="489">
        <f>Data!M69</f>
        <v>18111.483577572875</v>
      </c>
      <c r="E14" s="490">
        <f>Data!N69</f>
        <v>34778.550041753057</v>
      </c>
      <c r="F14" s="490">
        <f>Data!O69</f>
        <v>21470.91854927667</v>
      </c>
      <c r="G14" s="490">
        <f>Data!P69</f>
        <v>19100.871313672924</v>
      </c>
      <c r="H14" s="490">
        <f>Data!Q69</f>
        <v>9544.7342103238716</v>
      </c>
      <c r="I14" s="491">
        <f>Data!R69</f>
        <v>24268.722117456076</v>
      </c>
      <c r="J14" s="482"/>
    </row>
    <row r="15" spans="3:10" ht="17.25" thickTop="1" thickBot="1" x14ac:dyDescent="0.3">
      <c r="C15" s="476" t="s">
        <v>151</v>
      </c>
      <c r="D15" s="492">
        <f>D9-D10-D14</f>
        <v>36532.551734256791</v>
      </c>
      <c r="E15" s="493">
        <f t="shared" ref="E15:I15" si="2">E9-E10-E14</f>
        <v>14053.742029491739</v>
      </c>
      <c r="F15" s="493">
        <f t="shared" si="2"/>
        <v>-1507.9994089293759</v>
      </c>
      <c r="G15" s="493">
        <f t="shared" si="2"/>
        <v>19511.014612468072</v>
      </c>
      <c r="H15" s="493">
        <f t="shared" si="2"/>
        <v>44078.710143098237</v>
      </c>
      <c r="I15" s="494">
        <f t="shared" si="2"/>
        <v>18621.711834961221</v>
      </c>
      <c r="J15" s="481"/>
    </row>
    <row r="16" spans="3:10" ht="15.75" x14ac:dyDescent="0.25">
      <c r="C16" s="473" t="s">
        <v>152</v>
      </c>
      <c r="D16" s="495">
        <f>-Data!M18</f>
        <v>0</v>
      </c>
      <c r="E16" s="496">
        <f>-Data!N18</f>
        <v>1694.2533188123716</v>
      </c>
      <c r="F16" s="496">
        <f>-Data!O18</f>
        <v>5502.3644404157685</v>
      </c>
      <c r="G16" s="496">
        <f>-Data!P18</f>
        <v>6188.0026809651472</v>
      </c>
      <c r="H16" s="496">
        <f>-Data!Q18</f>
        <v>3692.2840218478345</v>
      </c>
      <c r="I16" s="497">
        <f>-Data!R18</f>
        <v>3269.6192411676034</v>
      </c>
      <c r="J16" s="481"/>
    </row>
    <row r="17" spans="3:10" ht="16.5" thickBot="1" x14ac:dyDescent="0.3">
      <c r="C17" s="473" t="s">
        <v>153</v>
      </c>
      <c r="D17" s="489">
        <f>Data!M47</f>
        <v>0</v>
      </c>
      <c r="E17" s="490">
        <f>Data!N47</f>
        <v>0</v>
      </c>
      <c r="F17" s="490">
        <f>Data!O47</f>
        <v>0</v>
      </c>
      <c r="G17" s="490">
        <f>Data!P47</f>
        <v>0</v>
      </c>
      <c r="H17" s="490">
        <f>Data!Q47</f>
        <v>0</v>
      </c>
      <c r="I17" s="491">
        <f>Data!R47</f>
        <v>0</v>
      </c>
      <c r="J17" s="482"/>
    </row>
    <row r="18" spans="3:10" ht="17.25" thickTop="1" thickBot="1" x14ac:dyDescent="0.3">
      <c r="C18" s="476" t="s">
        <v>154</v>
      </c>
      <c r="D18" s="492">
        <f>D15-D16-D17</f>
        <v>36532.551734256791</v>
      </c>
      <c r="E18" s="493">
        <f t="shared" ref="E18:I18" si="3">E15-E16-E17</f>
        <v>12359.488710679369</v>
      </c>
      <c r="F18" s="493">
        <f t="shared" si="3"/>
        <v>-7010.3638493451444</v>
      </c>
      <c r="G18" s="493">
        <f t="shared" si="3"/>
        <v>13323.011931502926</v>
      </c>
      <c r="H18" s="493">
        <f t="shared" si="3"/>
        <v>40386.426121250399</v>
      </c>
      <c r="I18" s="494">
        <f t="shared" si="3"/>
        <v>15352.092593793617</v>
      </c>
      <c r="J18" s="481"/>
    </row>
    <row r="19" spans="3:10" ht="16.5" thickBot="1" x14ac:dyDescent="0.3">
      <c r="C19" s="473" t="s">
        <v>62</v>
      </c>
      <c r="D19" s="489">
        <f>IF(Data!M70=0,((Data!L61+Data!L26)-Data!M61)-(Data!M48-Data!L48),Data!M70)</f>
        <v>13736.906782140559</v>
      </c>
      <c r="E19" s="490">
        <f>IF(Data!N70=0,((Data!M61+Data!M26)-Data!N61)-(Data!N48-Data!M48),Data!N70)</f>
        <v>11383.502621075928</v>
      </c>
      <c r="F19" s="490">
        <f>IF(Data!O70=0,((Data!N61+Data!N26)-Data!O61)-(Data!O48-Data!N48),Data!O70)</f>
        <v>13224.536859609892</v>
      </c>
      <c r="G19" s="490">
        <f>IF(Data!P70=0,((Data!O61+Data!O26)-Data!P61)-(Data!P48-Data!O48),Data!P70)</f>
        <v>12682.975871313673</v>
      </c>
      <c r="H19" s="490">
        <f>IF(Data!Q70=0,((Data!P61+Data!P26)-Data!Q61)-(Data!Q48-Data!P48),Data!Q70)</f>
        <v>9037.6182783291024</v>
      </c>
      <c r="I19" s="491">
        <f>IF(Data!R70=0,((Data!Q61+Data!Q26)-Data!R61)-(Data!R48-Data!Q48),Data!R70)</f>
        <v>12500.839146328812</v>
      </c>
      <c r="J19" s="482"/>
    </row>
    <row r="20" spans="3:10" ht="17.25" thickTop="1" thickBot="1" x14ac:dyDescent="0.3">
      <c r="C20" s="476" t="s">
        <v>155</v>
      </c>
      <c r="D20" s="492">
        <f>D18-D19</f>
        <v>22795.644952116232</v>
      </c>
      <c r="E20" s="493">
        <f t="shared" ref="E20:I20" si="4">E18-E19</f>
        <v>975.98608960344063</v>
      </c>
      <c r="F20" s="493">
        <f t="shared" si="4"/>
        <v>-20234.900708955036</v>
      </c>
      <c r="G20" s="493">
        <f t="shared" si="4"/>
        <v>640.03606018925348</v>
      </c>
      <c r="H20" s="493">
        <f t="shared" si="4"/>
        <v>31348.807842921298</v>
      </c>
      <c r="I20" s="494">
        <f t="shared" si="4"/>
        <v>2851.2534474648055</v>
      </c>
    </row>
    <row r="21" spans="3:10" ht="10.5" customHeight="1" thickBot="1" x14ac:dyDescent="0.3">
      <c r="D21" s="498"/>
      <c r="E21" s="498"/>
      <c r="F21" s="498"/>
      <c r="G21" s="498"/>
      <c r="H21" s="498"/>
      <c r="I21" s="498"/>
    </row>
    <row r="22" spans="3:10" ht="21" thickBot="1" x14ac:dyDescent="0.3">
      <c r="C22" s="483" t="s">
        <v>159</v>
      </c>
      <c r="D22" s="498"/>
      <c r="E22" s="498"/>
      <c r="F22" s="498"/>
      <c r="G22" s="498"/>
      <c r="H22" s="498"/>
      <c r="I22" s="498"/>
    </row>
    <row r="23" spans="3:10" ht="15.75" x14ac:dyDescent="0.25">
      <c r="C23" s="472" t="s">
        <v>14</v>
      </c>
      <c r="D23" s="486">
        <f>Data!M15</f>
        <v>51136.905110221276</v>
      </c>
      <c r="E23" s="487">
        <f>Data!N15</f>
        <v>41841.008169628542</v>
      </c>
      <c r="F23" s="487">
        <f>Data!O15</f>
        <v>41913.080570931546</v>
      </c>
      <c r="G23" s="487">
        <f>Data!P15</f>
        <v>44830.093833780164</v>
      </c>
      <c r="H23" s="487">
        <f>Data!Q15</f>
        <v>56025.848142164781</v>
      </c>
      <c r="I23" s="488">
        <f>Data!R15</f>
        <v>54662.907291113595</v>
      </c>
    </row>
    <row r="24" spans="3:10" ht="16.5" thickBot="1" x14ac:dyDescent="0.3">
      <c r="C24" s="473" t="s">
        <v>144</v>
      </c>
      <c r="D24" s="489">
        <f>IF(Data!M68=0,('Resumen Ejecutivo'!E30*'Resumen Ejecutivo'!E21),Data!M68)</f>
        <v>7173.1042575526517</v>
      </c>
      <c r="E24" s="490">
        <f>IF(Data!N68=0,('Resumen Ejecutivo'!F30*'Resumen Ejecutivo'!F21),Data!N68)</f>
        <v>9750.7886747604953</v>
      </c>
      <c r="F24" s="490">
        <f>IF(Data!O68=0,('Resumen Ejecutivo'!G30*'Resumen Ejecutivo'!G21),Data!O68)</f>
        <v>4738.7747422084922</v>
      </c>
      <c r="G24" s="490">
        <f>IF(Data!P68=0,('Resumen Ejecutivo'!H30*'Resumen Ejecutivo'!H21),Data!P68)</f>
        <v>4924.8045213735686</v>
      </c>
      <c r="H24" s="490">
        <f>IF(Data!Q68=0,('Resumen Ejecutivo'!I30*'Resumen Ejecutivo'!I21),Data!Q68)</f>
        <v>11797.215170397723</v>
      </c>
      <c r="I24" s="491">
        <f>IF(Data!R68=0,('Resumen Ejecutivo'!J30*'Resumen Ejecutivo'!J21),Data!R68)</f>
        <v>10442.642059844866</v>
      </c>
    </row>
    <row r="25" spans="3:10" ht="17.25" thickTop="1" thickBot="1" x14ac:dyDescent="0.3">
      <c r="C25" s="475" t="s">
        <v>145</v>
      </c>
      <c r="D25" s="492">
        <f>D23-D24</f>
        <v>43963.800852668624</v>
      </c>
      <c r="E25" s="493">
        <f t="shared" ref="E25:I25" si="5">E23-E24</f>
        <v>32090.219494868048</v>
      </c>
      <c r="F25" s="493">
        <f t="shared" si="5"/>
        <v>37174.305828723052</v>
      </c>
      <c r="G25" s="493">
        <f t="shared" si="5"/>
        <v>39905.289312406596</v>
      </c>
      <c r="H25" s="493">
        <f t="shared" si="5"/>
        <v>44228.63297176706</v>
      </c>
      <c r="I25" s="494">
        <f t="shared" si="5"/>
        <v>44220.265231268728</v>
      </c>
    </row>
    <row r="26" spans="3:10" ht="15.75" x14ac:dyDescent="0.25">
      <c r="C26" s="473" t="s">
        <v>146</v>
      </c>
      <c r="D26" s="495">
        <f>D27+D28+D29</f>
        <v>-10680.234459161038</v>
      </c>
      <c r="E26" s="496">
        <f t="shared" ref="E26:I26" si="6">E27+E28+E29</f>
        <v>-16742.072576376751</v>
      </c>
      <c r="F26" s="496">
        <f t="shared" si="6"/>
        <v>17211.386688375758</v>
      </c>
      <c r="G26" s="496">
        <f t="shared" si="6"/>
        <v>1293.4033862655961</v>
      </c>
      <c r="H26" s="496">
        <f t="shared" si="6"/>
        <v>-9394.8113816550467</v>
      </c>
      <c r="I26" s="497">
        <f t="shared" si="6"/>
        <v>1329.8312788514304</v>
      </c>
    </row>
    <row r="27" spans="3:10" ht="15.75" x14ac:dyDescent="0.25">
      <c r="C27" s="474" t="s">
        <v>147</v>
      </c>
      <c r="D27" s="495">
        <f>(Data!M32+Data!M33)-(Data!L32+Data!L33)</f>
        <v>-4542.74498654333</v>
      </c>
      <c r="E27" s="496">
        <f>(Data!N32+Data!N33)-(Data!M32+Data!M33)</f>
        <v>-26740.105725762594</v>
      </c>
      <c r="F27" s="496">
        <f>(Data!O32+Data!O33)-(Data!N32+Data!N33)</f>
        <v>7335.1891873462591</v>
      </c>
      <c r="G27" s="496">
        <f>(Data!P32+Data!P33)-(Data!O32+Data!O33)</f>
        <v>6513.0988626257385</v>
      </c>
      <c r="H27" s="496">
        <f>(Data!Q32+Data!Q33)-(Data!P32+Data!P33)</f>
        <v>-8792.8267373423369</v>
      </c>
      <c r="I27" s="497">
        <f>(Data!R32+Data!R33)-(Data!Q32+Data!Q33)</f>
        <v>8780.6642674381073</v>
      </c>
    </row>
    <row r="28" spans="3:10" ht="15.75" x14ac:dyDescent="0.25">
      <c r="C28" s="474" t="s">
        <v>148</v>
      </c>
      <c r="D28" s="495">
        <f>Data!M34-Data!L34</f>
        <v>-1803.3656042268558</v>
      </c>
      <c r="E28" s="496">
        <f>Data!N34-Data!M34</f>
        <v>-2129.8113011954883</v>
      </c>
      <c r="F28" s="496">
        <f>Data!O34-Data!N34</f>
        <v>4123.7739229560757</v>
      </c>
      <c r="G28" s="496">
        <f>Data!P34-Data!O34</f>
        <v>-1545.703497625309</v>
      </c>
      <c r="H28" s="496">
        <f>Data!Q34-Data!P34</f>
        <v>979.85847333688434</v>
      </c>
      <c r="I28" s="497">
        <f>Data!R34-Data!Q34</f>
        <v>1044.6024969386272</v>
      </c>
    </row>
    <row r="29" spans="3:10" ht="15.75" x14ac:dyDescent="0.25">
      <c r="C29" s="474" t="s">
        <v>149</v>
      </c>
      <c r="D29" s="495">
        <f>Data!L45-Data!M45</f>
        <v>-4334.1238683908523</v>
      </c>
      <c r="E29" s="496">
        <f>Data!M45-Data!N45</f>
        <v>12127.844450581331</v>
      </c>
      <c r="F29" s="496">
        <f>Data!N45-Data!O45</f>
        <v>5752.4235780734234</v>
      </c>
      <c r="G29" s="496">
        <f>Data!O45-Data!P45</f>
        <v>-3673.9919787348335</v>
      </c>
      <c r="H29" s="496">
        <f>Data!P45-Data!Q45</f>
        <v>-1581.8431176495942</v>
      </c>
      <c r="I29" s="497">
        <f>Data!Q45-Data!R45</f>
        <v>-8495.4354855253041</v>
      </c>
    </row>
    <row r="30" spans="3:10" ht="16.5" thickBot="1" x14ac:dyDescent="0.3">
      <c r="C30" s="473" t="s">
        <v>150</v>
      </c>
      <c r="D30" s="489">
        <f>Data!M69</f>
        <v>18111.483577572875</v>
      </c>
      <c r="E30" s="490">
        <f>Data!N69</f>
        <v>34778.550041753057</v>
      </c>
      <c r="F30" s="490">
        <f>Data!O69</f>
        <v>21470.91854927667</v>
      </c>
      <c r="G30" s="490">
        <f>Data!P69</f>
        <v>19100.871313672924</v>
      </c>
      <c r="H30" s="490">
        <f>Data!Q69</f>
        <v>9544.7342103238716</v>
      </c>
      <c r="I30" s="491">
        <f>Data!R69</f>
        <v>24268.722117456076</v>
      </c>
    </row>
    <row r="31" spans="3:10" ht="17.25" thickTop="1" thickBot="1" x14ac:dyDescent="0.3">
      <c r="C31" s="476" t="s">
        <v>151</v>
      </c>
      <c r="D31" s="492">
        <f>D25-D26-D30</f>
        <v>36532.551734256791</v>
      </c>
      <c r="E31" s="493">
        <f t="shared" ref="E31:I31" si="7">E25-E26-E30</f>
        <v>14053.742029491739</v>
      </c>
      <c r="F31" s="493">
        <f t="shared" si="7"/>
        <v>-1507.9994089293759</v>
      </c>
      <c r="G31" s="493">
        <f t="shared" si="7"/>
        <v>19511.014612468072</v>
      </c>
      <c r="H31" s="493">
        <f t="shared" si="7"/>
        <v>44078.710143098237</v>
      </c>
      <c r="I31" s="494">
        <f t="shared" si="7"/>
        <v>18621.711834961221</v>
      </c>
    </row>
    <row r="32" spans="3:10" ht="15.75" x14ac:dyDescent="0.25">
      <c r="C32" s="473" t="s">
        <v>152</v>
      </c>
      <c r="D32" s="495">
        <f>-Data!M18</f>
        <v>0</v>
      </c>
      <c r="E32" s="496">
        <f>-Data!N18</f>
        <v>1694.2533188123716</v>
      </c>
      <c r="F32" s="496">
        <f>-Data!O18</f>
        <v>5502.3644404157685</v>
      </c>
      <c r="G32" s="496">
        <f>-Data!P18</f>
        <v>6188.0026809651472</v>
      </c>
      <c r="H32" s="496">
        <f>-Data!Q18</f>
        <v>3692.2840218478345</v>
      </c>
      <c r="I32" s="497">
        <f>-Data!R18</f>
        <v>3269.6192411676034</v>
      </c>
    </row>
    <row r="33" spans="3:9" ht="16.5" thickBot="1" x14ac:dyDescent="0.3">
      <c r="C33" s="473" t="s">
        <v>161</v>
      </c>
      <c r="D33" s="489">
        <f>('Resumen Ejecutivo'!E66-'Resumen Ejecutivo'!D66)</f>
        <v>-14895.189398590825</v>
      </c>
      <c r="E33" s="490">
        <f>('Resumen Ejecutivo'!F66-'Resumen Ejecutivo'!E66)</f>
        <v>6685.3293970355444</v>
      </c>
      <c r="F33" s="490">
        <f>('Resumen Ejecutivo'!G66-'Resumen Ejecutivo'!F66)</f>
        <v>22535.200889166263</v>
      </c>
      <c r="G33" s="490">
        <f>('Resumen Ejecutivo'!H66-'Resumen Ejecutivo'!G66)</f>
        <v>7530.1947238885405</v>
      </c>
      <c r="H33" s="490">
        <f>('Resumen Ejecutivo'!I66-'Resumen Ejecutivo'!H66)</f>
        <v>-35299.033674893944</v>
      </c>
      <c r="I33" s="491">
        <f>('Resumen Ejecutivo'!J66-'Resumen Ejecutivo'!I66)</f>
        <v>14492.793952953703</v>
      </c>
    </row>
    <row r="34" spans="3:9" ht="17.25" thickTop="1" thickBot="1" x14ac:dyDescent="0.3">
      <c r="C34" s="476" t="s">
        <v>154</v>
      </c>
      <c r="D34" s="492">
        <f>D31-D32+D33</f>
        <v>21637.362335665966</v>
      </c>
      <c r="E34" s="493">
        <f t="shared" ref="E34:I34" si="8">E31-E32+E33</f>
        <v>19044.818107714913</v>
      </c>
      <c r="F34" s="493">
        <f t="shared" si="8"/>
        <v>15524.837039821119</v>
      </c>
      <c r="G34" s="493">
        <f t="shared" si="8"/>
        <v>20853.206655391466</v>
      </c>
      <c r="H34" s="493">
        <f t="shared" si="8"/>
        <v>5087.3924463564545</v>
      </c>
      <c r="I34" s="494">
        <f t="shared" si="8"/>
        <v>29844.886546747322</v>
      </c>
    </row>
    <row r="35" spans="3:9" ht="16.5" thickBot="1" x14ac:dyDescent="0.3">
      <c r="C35" s="473" t="s">
        <v>62</v>
      </c>
      <c r="D35" s="489">
        <f>IF(Data!M70=0,((Data!L61+Data!L26)-Data!M61)-(Data!M48-Data!L48),Data!M70)</f>
        <v>13736.906782140559</v>
      </c>
      <c r="E35" s="490">
        <f>IF(Data!N70=0,((Data!M61+Data!M26)-Data!N61)-(Data!N48-Data!M48),Data!N70)</f>
        <v>11383.502621075928</v>
      </c>
      <c r="F35" s="490">
        <f>IF(Data!O70=0,((Data!N61+Data!N26)-Data!O61)-(Data!O48-Data!N48),Data!O70)</f>
        <v>13224.536859609892</v>
      </c>
      <c r="G35" s="490">
        <f>IF(Data!P70=0,((Data!O61+Data!O26)-Data!P61)-(Data!P48-Data!O48),Data!P70)</f>
        <v>12682.975871313673</v>
      </c>
      <c r="H35" s="490">
        <f>IF(Data!Q70=0,((Data!P61+Data!P26)-Data!Q61)-(Data!Q48-Data!P48),Data!Q70)</f>
        <v>9037.6182783291024</v>
      </c>
      <c r="I35" s="491">
        <f>IF(Data!R70=0,((Data!Q61+Data!Q26)-Data!R61)-(Data!R48-Data!Q48),Data!R70)</f>
        <v>12500.839146328812</v>
      </c>
    </row>
    <row r="36" spans="3:9" ht="17.25" thickTop="1" thickBot="1" x14ac:dyDescent="0.3">
      <c r="C36" s="476" t="s">
        <v>155</v>
      </c>
      <c r="D36" s="492">
        <f>D34-D35</f>
        <v>7900.4555535254076</v>
      </c>
      <c r="E36" s="493">
        <f t="shared" ref="E36:I36" si="9">E34-E35</f>
        <v>7661.315486638985</v>
      </c>
      <c r="F36" s="493">
        <f t="shared" si="9"/>
        <v>2300.3001802112267</v>
      </c>
      <c r="G36" s="493">
        <f t="shared" si="9"/>
        <v>8170.2307840777939</v>
      </c>
      <c r="H36" s="493">
        <f t="shared" si="9"/>
        <v>-3950.2258319726479</v>
      </c>
      <c r="I36" s="494">
        <f t="shared" si="9"/>
        <v>17344.047400418509</v>
      </c>
    </row>
    <row r="2020" spans="8957:8957" x14ac:dyDescent="0.25">
      <c r="MFM2020" s="201" t="s">
        <v>133</v>
      </c>
    </row>
  </sheetData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AE5D5-7A3B-4B6F-B53A-2FD497A6E4A4}">
  <sheetPr codeName="Sheet9">
    <tabColor rgb="FF33AF36"/>
    <pageSetUpPr fitToPage="1"/>
  </sheetPr>
  <dimension ref="A1:MFM2020"/>
  <sheetViews>
    <sheetView showGridLines="0" zoomScale="55" zoomScaleNormal="55" workbookViewId="0">
      <pane ySplit="4" topLeftCell="A5" activePane="bottomLeft" state="frozen"/>
      <selection activeCell="E30" sqref="E30"/>
      <selection pane="bottomLeft" activeCell="G7" sqref="G7"/>
    </sheetView>
  </sheetViews>
  <sheetFormatPr baseColWidth="10" defaultColWidth="19" defaultRowHeight="15.75" x14ac:dyDescent="0.25"/>
  <cols>
    <col min="1" max="1" width="3.140625" style="14" customWidth="1"/>
    <col min="2" max="2" width="6" style="13" customWidth="1"/>
    <col min="3" max="3" width="64.85546875" style="14" bestFit="1" customWidth="1"/>
    <col min="4" max="4" width="20.140625" style="14" customWidth="1"/>
    <col min="5" max="5" width="20.140625" style="14" bestFit="1" customWidth="1"/>
    <col min="6" max="10" width="20.140625" style="14" customWidth="1"/>
    <col min="11" max="16384" width="19" style="14"/>
  </cols>
  <sheetData>
    <row r="1" spans="1:10" ht="20.100000000000001" customHeight="1" thickBot="1" x14ac:dyDescent="0.3"/>
    <row r="2" spans="1:10" ht="20.100000000000001" customHeight="1" thickBot="1" x14ac:dyDescent="0.35">
      <c r="C2" s="213" t="s">
        <v>68</v>
      </c>
      <c r="D2" s="15"/>
      <c r="E2" s="16" t="s">
        <v>69</v>
      </c>
      <c r="F2" s="517" t="s">
        <v>139</v>
      </c>
      <c r="G2" s="518"/>
      <c r="H2" s="17" t="s">
        <v>70</v>
      </c>
      <c r="I2" s="519"/>
      <c r="J2" s="520"/>
    </row>
    <row r="3" spans="1:10" ht="20.100000000000001" customHeight="1" thickBot="1" x14ac:dyDescent="0.35">
      <c r="B3" s="14"/>
      <c r="C3" s="314" t="s">
        <v>134</v>
      </c>
      <c r="D3" s="18"/>
    </row>
    <row r="4" spans="1:10" ht="20.100000000000001" customHeight="1" thickBot="1" x14ac:dyDescent="0.35">
      <c r="C4" s="470" t="str">
        <f>CONCATENATE(Data!K4)</f>
        <v>en USD miles a 31 de diciembre</v>
      </c>
      <c r="D4" s="19">
        <v>2013</v>
      </c>
      <c r="E4" s="20">
        <v>2014</v>
      </c>
      <c r="F4" s="21">
        <v>2015</v>
      </c>
      <c r="G4" s="22">
        <v>2016</v>
      </c>
      <c r="H4" s="23">
        <v>2017</v>
      </c>
      <c r="I4" s="23">
        <v>2018</v>
      </c>
      <c r="J4" s="24">
        <v>2019</v>
      </c>
    </row>
    <row r="5" spans="1:10" ht="5.0999999999999996" customHeight="1" thickBot="1" x14ac:dyDescent="0.3"/>
    <row r="6" spans="1:10" ht="19.5" thickBot="1" x14ac:dyDescent="0.35">
      <c r="C6" s="467" t="s">
        <v>71</v>
      </c>
    </row>
    <row r="7" spans="1:10" x14ac:dyDescent="0.25">
      <c r="A7" s="13"/>
      <c r="C7" s="25" t="s">
        <v>72</v>
      </c>
      <c r="D7" s="26">
        <f>IFERROR(Data!L26/Data!L11,0)</f>
        <v>7.4538143867339077E-2</v>
      </c>
      <c r="E7" s="27">
        <f>IFERROR(Data!M26/Data!M11,0)</f>
        <v>8.7491449907439359E-2</v>
      </c>
      <c r="F7" s="27">
        <f>IFERROR(Data!N26/Data!N11,0)</f>
        <v>0.11797282842227483</v>
      </c>
      <c r="G7" s="27">
        <f>IFERROR(Data!O26/Data!O11,0)</f>
        <v>0.11300635272283525</v>
      </c>
      <c r="H7" s="28">
        <f>IFERROR(Data!P26/Data!P11,0)</f>
        <v>7.7539391893958892E-2</v>
      </c>
      <c r="I7" s="28">
        <f>IFERROR(Data!Q26/Data!Q11,0)</f>
        <v>0.12211499621705214</v>
      </c>
      <c r="J7" s="29">
        <f>IFERROR(Data!R26/Data!R11,0)</f>
        <v>7.7413564310255353E-2</v>
      </c>
    </row>
    <row r="8" spans="1:10" x14ac:dyDescent="0.25">
      <c r="C8" s="30" t="s">
        <v>73</v>
      </c>
      <c r="D8" s="31">
        <f>IFERROR(Data!L11/Data!L42,0)</f>
        <v>0.39015718281818657</v>
      </c>
      <c r="E8" s="32">
        <f>IFERROR(Data!M11/Data!M42,0)</f>
        <v>0.40604593232966996</v>
      </c>
      <c r="F8" s="32">
        <f>IFERROR(Data!N11/Data!N42,0)</f>
        <v>0.44819307963971722</v>
      </c>
      <c r="G8" s="32">
        <f>IFERROR(Data!O11/Data!O42,0)</f>
        <v>0.44786648497398268</v>
      </c>
      <c r="H8" s="33">
        <f>IFERROR(Data!P11/Data!P42,0)</f>
        <v>0.47712977162495512</v>
      </c>
      <c r="I8" s="33">
        <f>IFERROR(Data!Q11/Data!Q42,0)</f>
        <v>0.52837133115406165</v>
      </c>
      <c r="J8" s="34">
        <f>IFERROR(Data!R11/Data!R42,0)</f>
        <v>0.54187506007069652</v>
      </c>
    </row>
    <row r="9" spans="1:10" x14ac:dyDescent="0.25">
      <c r="C9" s="35" t="s">
        <v>74</v>
      </c>
      <c r="D9" s="36">
        <f>IFERROR(Data!L26/Data!L42,0)</f>
        <v>2.9081592223777701E-2</v>
      </c>
      <c r="E9" s="37">
        <f>IFERROR(Data!M26/Data!M42,0)</f>
        <v>3.5525547348540833E-2</v>
      </c>
      <c r="F9" s="37">
        <f>IFERROR(Data!N26/Data!N42,0)</f>
        <v>5.2874605284387324E-2</v>
      </c>
      <c r="G9" s="37">
        <f>IFERROR(Data!O26/Data!O42,0)</f>
        <v>5.0611757973706283E-2</v>
      </c>
      <c r="H9" s="38">
        <f>IFERROR(Data!P26/Data!P42,0)</f>
        <v>3.6996352346302504E-2</v>
      </c>
      <c r="I9" s="38">
        <f>IFERROR(Data!Q26/Data!Q42,0)</f>
        <v>6.4522063105077049E-2</v>
      </c>
      <c r="J9" s="39">
        <f>IFERROR(Data!R26/Data!R42,0)</f>
        <v>4.1948479810906346E-2</v>
      </c>
    </row>
    <row r="10" spans="1:10" x14ac:dyDescent="0.25">
      <c r="C10" s="30" t="s">
        <v>75</v>
      </c>
      <c r="D10" s="31">
        <f>IFERROR(Data!L42/Data!L63,0)</f>
        <v>1.219313795017559</v>
      </c>
      <c r="E10" s="32">
        <f>IFERROR(Data!M42/Data!M63,0)</f>
        <v>1.2266882546549098</v>
      </c>
      <c r="F10" s="32">
        <f>IFERROR(Data!N42/Data!N63,0)</f>
        <v>1.4063688568991746</v>
      </c>
      <c r="G10" s="32">
        <f>IFERROR(Data!O42/Data!O63,0)</f>
        <v>1.4157892749374354</v>
      </c>
      <c r="H10" s="33">
        <f>IFERROR(Data!P42/Data!P63,0)</f>
        <v>1.4185087374801968</v>
      </c>
      <c r="I10" s="33">
        <f>IFERROR(Data!Q42/Data!Q63,0)</f>
        <v>1.3152723341921504</v>
      </c>
      <c r="J10" s="34">
        <f>IFERROR(Data!R42/Data!R63,0)</f>
        <v>1.363121185966236</v>
      </c>
    </row>
    <row r="11" spans="1:10" ht="16.5" thickBot="1" x14ac:dyDescent="0.3">
      <c r="C11" s="40" t="s">
        <v>76</v>
      </c>
      <c r="D11" s="41">
        <f>IFERROR(Data!L26/Data!L63,0)</f>
        <v>3.5459586579527524E-2</v>
      </c>
      <c r="E11" s="42">
        <f>IFERROR(Data!M26/Data!M63,0)</f>
        <v>4.3578771672641917E-2</v>
      </c>
      <c r="F11" s="42">
        <f>IFERROR(Data!N26/Data!N63,0)</f>
        <v>7.436119819279885E-2</v>
      </c>
      <c r="G11" s="42">
        <f>IFERROR(Data!O26/Data!O63,0)</f>
        <v>7.1655584124902583E-2</v>
      </c>
      <c r="H11" s="43">
        <f>IFERROR(Data!P26/Data!P63,0)</f>
        <v>5.2479649058126084E-2</v>
      </c>
      <c r="I11" s="43">
        <f>IFERROR(Data!Q26/Data!Q63,0)</f>
        <v>8.4864084547107921E-2</v>
      </c>
      <c r="J11" s="44">
        <f>IFERROR(Data!R26/Data!R63,0)</f>
        <v>5.7180861549323364E-2</v>
      </c>
    </row>
    <row r="12" spans="1:10" ht="5.0999999999999996" customHeight="1" thickBot="1" x14ac:dyDescent="0.3">
      <c r="C12" s="45"/>
      <c r="D12" s="46"/>
      <c r="E12" s="47"/>
      <c r="F12" s="47"/>
      <c r="G12" s="47"/>
      <c r="H12" s="47"/>
      <c r="I12" s="47"/>
      <c r="J12" s="47"/>
    </row>
    <row r="13" spans="1:10" ht="20.100000000000001" customHeight="1" thickBot="1" x14ac:dyDescent="0.3">
      <c r="C13" s="48" t="s">
        <v>5</v>
      </c>
      <c r="D13" s="49">
        <f>Data!L5</f>
        <v>1926.83</v>
      </c>
      <c r="E13" s="50">
        <f>Data!M5</f>
        <v>2392.46</v>
      </c>
      <c r="F13" s="51">
        <f>Data!N5</f>
        <v>3149.47</v>
      </c>
      <c r="G13" s="52">
        <f>Data!O5</f>
        <v>3000.71</v>
      </c>
      <c r="H13" s="53">
        <f>Data!P5</f>
        <v>2984</v>
      </c>
      <c r="I13" s="53">
        <f>Data!Q5</f>
        <v>3249.75</v>
      </c>
      <c r="J13" s="54">
        <f>Data!R5</f>
        <v>3277.14</v>
      </c>
    </row>
    <row r="14" spans="1:10" ht="5.0999999999999996" customHeight="1" thickBot="1" x14ac:dyDescent="0.3"/>
    <row r="15" spans="1:10" ht="19.5" thickBot="1" x14ac:dyDescent="0.35">
      <c r="C15" s="405" t="s">
        <v>77</v>
      </c>
      <c r="D15" s="18"/>
      <c r="E15" s="55"/>
      <c r="F15" s="56"/>
      <c r="G15" s="56"/>
      <c r="H15" s="56"/>
      <c r="I15" s="56"/>
      <c r="J15" s="56"/>
    </row>
    <row r="16" spans="1:10" x14ac:dyDescent="0.25">
      <c r="C16" s="25" t="s">
        <v>10</v>
      </c>
      <c r="D16" s="57">
        <f>Data!L11</f>
        <v>390962.87684954045</v>
      </c>
      <c r="E16" s="58">
        <f>Data!M11</f>
        <v>333035.87102814676</v>
      </c>
      <c r="F16" s="58">
        <f>Data!N11</f>
        <v>277834.68329591968</v>
      </c>
      <c r="G16" s="58">
        <f>Data!O11</f>
        <v>307774.16011543933</v>
      </c>
      <c r="H16" s="59">
        <f>Data!P11</f>
        <v>339592.15817694372</v>
      </c>
      <c r="I16" s="59">
        <f>Data!Q11</f>
        <v>342046.92668666819</v>
      </c>
      <c r="J16" s="60">
        <f>Data!R11</f>
        <v>371599.62650359765</v>
      </c>
    </row>
    <row r="17" spans="3:10" x14ac:dyDescent="0.25">
      <c r="C17" s="30" t="s">
        <v>78</v>
      </c>
      <c r="D17" s="504" t="s">
        <v>157</v>
      </c>
      <c r="E17" s="212">
        <f>IFERROR((Data!M11-Data!L11)/Data!L11,0)</f>
        <v>-0.14816497742236157</v>
      </c>
      <c r="F17" s="61">
        <f>IFERROR((Data!N11-Data!M11)/Data!M11,0)</f>
        <v>-0.16575147764656775</v>
      </c>
      <c r="G17" s="61">
        <f>IFERROR((Data!O11-Data!N11)/Data!N11,0)</f>
        <v>0.1077600408428178</v>
      </c>
      <c r="H17" s="62">
        <f>IFERROR((Data!P11-Data!O11)/Data!O11,0)</f>
        <v>0.10338099224954479</v>
      </c>
      <c r="I17" s="62">
        <f>IFERROR((Data!Q11-Data!P11)/Data!P11,0)</f>
        <v>7.2285783125928867E-3</v>
      </c>
      <c r="J17" s="63">
        <f>IFERROR((Data!R11-Data!Q11)/Data!Q11,0)</f>
        <v>8.6399547872567775E-2</v>
      </c>
    </row>
    <row r="18" spans="3:10" x14ac:dyDescent="0.25">
      <c r="C18" s="64" t="s">
        <v>12</v>
      </c>
      <c r="D18" s="65">
        <f>Data!L13</f>
        <v>102750.63186684866</v>
      </c>
      <c r="E18" s="66">
        <f>Data!M13</f>
        <v>93844.829171647594</v>
      </c>
      <c r="F18" s="66">
        <f>Data!N13</f>
        <v>74622.079270480433</v>
      </c>
      <c r="G18" s="66">
        <f>Data!O13</f>
        <v>77480.662909778024</v>
      </c>
      <c r="H18" s="67">
        <f>Data!P13</f>
        <v>83677.949061662192</v>
      </c>
      <c r="I18" s="67">
        <f>Data!Q13</f>
        <v>94326.025078852224</v>
      </c>
      <c r="J18" s="68">
        <f>Data!R13</f>
        <v>100133.95826849021</v>
      </c>
    </row>
    <row r="19" spans="3:10" x14ac:dyDescent="0.25">
      <c r="C19" s="30" t="s">
        <v>79</v>
      </c>
      <c r="D19" s="69">
        <f>IFERROR(Data!L13/Data!L11,0)</f>
        <v>0.26281429248432603</v>
      </c>
      <c r="E19" s="61">
        <f>IFERROR(Data!M13/Data!M11,0)</f>
        <v>0.28178594960936276</v>
      </c>
      <c r="F19" s="61">
        <f>IFERROR(Data!N13/Data!N11,0)</f>
        <v>0.26858446319677448</v>
      </c>
      <c r="G19" s="61">
        <f>IFERROR(Data!O13/Data!O11,0)</f>
        <v>0.25174518510818689</v>
      </c>
      <c r="H19" s="62">
        <f>IFERROR(Data!P13/Data!P11,0)</f>
        <v>0.24640718887879026</v>
      </c>
      <c r="I19" s="62">
        <f>IFERROR(Data!Q13/Data!Q11,0)</f>
        <v>0.2757692518759553</v>
      </c>
      <c r="J19" s="63">
        <f>IFERROR(Data!R13/Data!R11,0)</f>
        <v>0.26946732753920238</v>
      </c>
    </row>
    <row r="20" spans="3:10" x14ac:dyDescent="0.25">
      <c r="C20" s="64" t="s">
        <v>80</v>
      </c>
      <c r="D20" s="506" t="s">
        <v>157</v>
      </c>
      <c r="E20" s="70">
        <f>IFERROR((Data!M13-Data!L13)/Data!L13,0)</f>
        <v>-8.6673945779154146E-2</v>
      </c>
      <c r="F20" s="70">
        <f>IFERROR((Data!N13-Data!M13)/Data!M13,0)</f>
        <v>-0.20483547224544088</v>
      </c>
      <c r="G20" s="70">
        <f>IFERROR((Data!O13-Data!N13)/Data!N13,0)</f>
        <v>3.8307477722996267E-2</v>
      </c>
      <c r="H20" s="71">
        <f>IFERROR((Data!P13-Data!O13)/Data!O13,0)</f>
        <v>7.9984939714578415E-2</v>
      </c>
      <c r="I20" s="71">
        <f>IFERROR((Data!Q13-Data!P13)/Data!P13,0)</f>
        <v>0.12725068117221033</v>
      </c>
      <c r="J20" s="72">
        <f>IFERROR((Data!R13-Data!Q13)/Data!Q13,0)</f>
        <v>6.1572966578235674E-2</v>
      </c>
    </row>
    <row r="21" spans="3:10" x14ac:dyDescent="0.25">
      <c r="C21" s="30" t="s">
        <v>14</v>
      </c>
      <c r="D21" s="73">
        <f>Data!L15</f>
        <v>52648.650892917387</v>
      </c>
      <c r="E21" s="74">
        <f>Data!M15</f>
        <v>51136.905110221276</v>
      </c>
      <c r="F21" s="74">
        <f>Data!N15</f>
        <v>41841.008169628542</v>
      </c>
      <c r="G21" s="74">
        <f>Data!O15</f>
        <v>41913.080570931546</v>
      </c>
      <c r="H21" s="75">
        <f>Data!P15</f>
        <v>44830.093833780164</v>
      </c>
      <c r="I21" s="75">
        <f>Data!Q15</f>
        <v>56025.848142164781</v>
      </c>
      <c r="J21" s="76">
        <f>Data!R15</f>
        <v>54662.907291113595</v>
      </c>
    </row>
    <row r="22" spans="3:10" x14ac:dyDescent="0.25">
      <c r="C22" s="77" t="s">
        <v>81</v>
      </c>
      <c r="D22" s="78">
        <f>IFERROR(Data!L15/Data!L11,0)</f>
        <v>0.13466406661719671</v>
      </c>
      <c r="E22" s="79">
        <f>IFERROR(Data!M15/Data!M11,0)</f>
        <v>0.15354773932415047</v>
      </c>
      <c r="F22" s="79">
        <f>IFERROR(Data!N15/Data!N11,0)</f>
        <v>0.15059677817496958</v>
      </c>
      <c r="G22" s="79">
        <f>IFERROR(Data!O15/Data!O11,0)</f>
        <v>0.13618128485903713</v>
      </c>
      <c r="H22" s="80">
        <f>IFERROR(Data!P15/Data!P11,0)</f>
        <v>0.13201156962647395</v>
      </c>
      <c r="I22" s="80">
        <f>IFERROR(Data!Q15/Data!Q11,0)</f>
        <v>0.16379579458548157</v>
      </c>
      <c r="J22" s="81">
        <f>IFERROR(Data!R15/Data!R11,0)</f>
        <v>0.14710162064865362</v>
      </c>
    </row>
    <row r="23" spans="3:10" x14ac:dyDescent="0.25">
      <c r="C23" s="30" t="s">
        <v>82</v>
      </c>
      <c r="D23" s="507" t="s">
        <v>157</v>
      </c>
      <c r="E23" s="61">
        <f>IFERROR((Data!M15-Data!L15)/Data!L15,0)</f>
        <v>-2.8713856044875027E-2</v>
      </c>
      <c r="F23" s="61">
        <f>IFERROR((Data!N15-Data!M15)/Data!M15,0)</f>
        <v>-0.18178450417670397</v>
      </c>
      <c r="G23" s="61">
        <f>IFERROR((Data!O15-Data!N15)/Data!N15,0)</f>
        <v>1.7225302270637119E-3</v>
      </c>
      <c r="H23" s="62">
        <f>IFERROR((Data!P15-Data!O15)/Data!O15,0)</f>
        <v>6.9596727873820055E-2</v>
      </c>
      <c r="I23" s="62">
        <f>IFERROR((Data!Q15-Data!P15)/Data!P15,0)</f>
        <v>0.24973747210737365</v>
      </c>
      <c r="J23" s="63">
        <f>IFERROR((Data!R15-Data!Q15)/Data!Q15,0)</f>
        <v>-2.4327000772799423E-2</v>
      </c>
    </row>
    <row r="24" spans="3:10" x14ac:dyDescent="0.25">
      <c r="C24" s="77" t="s">
        <v>16</v>
      </c>
      <c r="D24" s="82">
        <f>Data!L17</f>
        <v>28746.178957147233</v>
      </c>
      <c r="E24" s="83">
        <f>Data!M17</f>
        <v>30870.317581067186</v>
      </c>
      <c r="F24" s="83">
        <f>Data!N17</f>
        <v>28697.526885475971</v>
      </c>
      <c r="G24" s="83">
        <f>Data!O17</f>
        <v>26849.645583878482</v>
      </c>
      <c r="H24" s="84">
        <f>Data!P17</f>
        <v>15541.219839142092</v>
      </c>
      <c r="I24" s="84">
        <f>Data!Q17</f>
        <v>25390.260789291486</v>
      </c>
      <c r="J24" s="85">
        <f>Data!R17</f>
        <v>22132.713280482374</v>
      </c>
    </row>
    <row r="25" spans="3:10" x14ac:dyDescent="0.25">
      <c r="C25" s="30" t="s">
        <v>83</v>
      </c>
      <c r="D25" s="69">
        <f>IFERROR(Data!L17/Data!L11,0)</f>
        <v>7.352662019675596E-2</v>
      </c>
      <c r="E25" s="61">
        <f>IFERROR(Data!M17/Data!M11,0)</f>
        <v>9.2693671362680807E-2</v>
      </c>
      <c r="F25" s="61">
        <f>IFERROR(Data!N17/Data!N11,0)</f>
        <v>0.10328993682516753</v>
      </c>
      <c r="G25" s="61">
        <f>IFERROR(Data!O17/Data!O11,0)</f>
        <v>8.7238141024599883E-2</v>
      </c>
      <c r="H25" s="62">
        <f>IFERROR(Data!P17/Data!P11,0)</f>
        <v>4.5764366063613206E-2</v>
      </c>
      <c r="I25" s="62">
        <f>IFERROR(Data!Q17/Data!Q11,0)</f>
        <v>7.4230343290148063E-2</v>
      </c>
      <c r="J25" s="63">
        <f>IFERROR(Data!R17/Data!R11,0)</f>
        <v>5.9560644580648137E-2</v>
      </c>
    </row>
    <row r="26" spans="3:10" x14ac:dyDescent="0.25">
      <c r="C26" s="77" t="s">
        <v>84</v>
      </c>
      <c r="D26" s="508" t="s">
        <v>157</v>
      </c>
      <c r="E26" s="79">
        <f>IFERROR((Data!M17-Data!L17)/Data!L17,0)</f>
        <v>7.3892903369399743E-2</v>
      </c>
      <c r="F26" s="79">
        <f>IFERROR((Data!N17-Data!M17)/Data!M17,0)</f>
        <v>-7.0384462028462935E-2</v>
      </c>
      <c r="G26" s="79">
        <f>IFERROR((Data!O17-Data!N17)/Data!N17,0)</f>
        <v>-6.4391656778365614E-2</v>
      </c>
      <c r="H26" s="80">
        <f>IFERROR((Data!P17-Data!O17)/Data!O17,0)</f>
        <v>-0.42117597826045</v>
      </c>
      <c r="I26" s="80">
        <f>IFERROR((Data!Q17-Data!P17)/Data!P17,0)</f>
        <v>0.63373667267376366</v>
      </c>
      <c r="J26" s="81">
        <f>IFERROR((Data!R17-Data!Q17)/Data!Q17,0)</f>
        <v>-0.12829909609211279</v>
      </c>
    </row>
    <row r="27" spans="3:10" x14ac:dyDescent="0.25">
      <c r="C27" s="30" t="s">
        <v>132</v>
      </c>
      <c r="D27" s="73">
        <f>Data!L26</f>
        <v>29141.647161399815</v>
      </c>
      <c r="E27" s="74">
        <f>Data!M26</f>
        <v>29137.791227439538</v>
      </c>
      <c r="F27" s="74">
        <f>Data!N26</f>
        <v>32776.943422226599</v>
      </c>
      <c r="G27" s="74">
        <f>Data!O26</f>
        <v>34780.435296979711</v>
      </c>
      <c r="H27" s="75">
        <f>Data!P26</f>
        <v>26331.769436997318</v>
      </c>
      <c r="I27" s="75">
        <f>Data!Q26</f>
        <v>41769.059158396798</v>
      </c>
      <c r="J27" s="76">
        <f>Data!R26</f>
        <v>28766.851584003125</v>
      </c>
    </row>
    <row r="28" spans="3:10" x14ac:dyDescent="0.25">
      <c r="C28" s="77" t="s">
        <v>85</v>
      </c>
      <c r="D28" s="78">
        <f>IFERROR(Data!L26/Data!L11,0)</f>
        <v>7.4538143867339077E-2</v>
      </c>
      <c r="E28" s="79">
        <f>IFERROR(Data!M26/Data!M11,0)</f>
        <v>8.7491449907439359E-2</v>
      </c>
      <c r="F28" s="79">
        <f>IFERROR(Data!N26/Data!N11,0)</f>
        <v>0.11797282842227483</v>
      </c>
      <c r="G28" s="79">
        <f>IFERROR(Data!O26/Data!O11,0)</f>
        <v>0.11300635272283525</v>
      </c>
      <c r="H28" s="80">
        <f>IFERROR(Data!P26/Data!P11,0)</f>
        <v>7.7539391893958892E-2</v>
      </c>
      <c r="I28" s="80">
        <f>IFERROR(Data!Q26/Data!Q11,0)</f>
        <v>0.12211499621705214</v>
      </c>
      <c r="J28" s="81">
        <f>IFERROR(Data!R26/Data!R11,0)</f>
        <v>7.7413564310255353E-2</v>
      </c>
    </row>
    <row r="29" spans="3:10" x14ac:dyDescent="0.25">
      <c r="C29" s="30" t="s">
        <v>86</v>
      </c>
      <c r="D29" s="504" t="s">
        <v>157</v>
      </c>
      <c r="E29" s="61">
        <f>IFERROR((Data!M26-Data!L26)/Data!L26,0)</f>
        <v>-1.3231695308505486E-4</v>
      </c>
      <c r="F29" s="87">
        <f>IFERROR((Data!N26-Data!M26)/Data!M26,0)</f>
        <v>0.12489457990762221</v>
      </c>
      <c r="G29" s="87">
        <f>IFERROR((Data!O26-Data!N26)/Data!N26,0)</f>
        <v>6.1125036857296165E-2</v>
      </c>
      <c r="H29" s="88">
        <f>IFERROR((Data!P26-Data!O26)/Data!O26,0)</f>
        <v>-0.24291432202736302</v>
      </c>
      <c r="I29" s="88">
        <f>IFERROR((Data!Q26-Data!P26)/Data!P26,0)</f>
        <v>0.58626100909532475</v>
      </c>
      <c r="J29" s="89">
        <f>IFERROR((Data!R26-Data!Q26)/Data!Q26,0)</f>
        <v>-0.31128801644984744</v>
      </c>
    </row>
    <row r="30" spans="3:10" ht="16.5" thickBot="1" x14ac:dyDescent="0.3">
      <c r="C30" s="90" t="s">
        <v>87</v>
      </c>
      <c r="D30" s="91">
        <f>IFERROR(-Data!L25/Data!L24,0)</f>
        <v>0.15961745689655171</v>
      </c>
      <c r="E30" s="92">
        <f>IFERROR(-Data!M25/Data!M24,0)</f>
        <v>0.14027255349324783</v>
      </c>
      <c r="F30" s="93">
        <f>IFERROR(-Data!N25/Data!N24,0)</f>
        <v>0.23304382712839067</v>
      </c>
      <c r="G30" s="93">
        <f>IFERROR(-Data!O25/Data!O24,0)</f>
        <v>0.11306195291918075</v>
      </c>
      <c r="H30" s="94">
        <f>IFERROR(-Data!P25/Data!P24,0)</f>
        <v>0.10985487872574232</v>
      </c>
      <c r="I30" s="94">
        <f>IFERROR(-Data!Q25/Data!Q24,0)</f>
        <v>1.8163634491785918E-3</v>
      </c>
      <c r="J30" s="95">
        <f>IFERROR(-Data!R25/Data!R24,0)</f>
        <v>0.21430000166686114</v>
      </c>
    </row>
    <row r="31" spans="3:10" ht="5.0999999999999996" customHeight="1" thickBot="1" x14ac:dyDescent="0.3">
      <c r="C31" s="96"/>
      <c r="G31" s="97"/>
    </row>
    <row r="32" spans="3:10" ht="19.5" thickBot="1" x14ac:dyDescent="0.35">
      <c r="C32" s="404" t="s">
        <v>88</v>
      </c>
      <c r="D32" s="98"/>
      <c r="E32" s="99"/>
      <c r="F32" s="55"/>
      <c r="G32" s="100"/>
      <c r="H32" s="55"/>
      <c r="I32" s="55"/>
      <c r="J32" s="55"/>
    </row>
    <row r="33" spans="2:10" x14ac:dyDescent="0.25">
      <c r="C33" s="25" t="s">
        <v>89</v>
      </c>
      <c r="D33" s="101">
        <f>ROUNDUP(IFERROR(((Data!L32/Data!L11)*360),0),0)</f>
        <v>74</v>
      </c>
      <c r="E33" s="102">
        <f>ROUNDUP(IFERROR((Data!M32/Data!M11)*360,0),0)</f>
        <v>81</v>
      </c>
      <c r="F33" s="102">
        <f>ROUNDUP(IFERROR((Data!N32/Data!N11)*360,0),0)</f>
        <v>62</v>
      </c>
      <c r="G33" s="102">
        <f>ROUNDUP(IFERROR((Data!O32/Data!O11)*360,0),0)</f>
        <v>64</v>
      </c>
      <c r="H33" s="103">
        <f>ROUNDUP(IFERROR((Data!P32/Data!P11)*360,0),0)</f>
        <v>65</v>
      </c>
      <c r="I33" s="103">
        <f>ROUNDUP(IFERROR((Data!Q32/Data!Q11)*360,0),0)</f>
        <v>55</v>
      </c>
      <c r="J33" s="104">
        <f>ROUNDUP(IFERROR((Data!R32/Data!R11)*360,0),0)</f>
        <v>59</v>
      </c>
    </row>
    <row r="34" spans="2:10" x14ac:dyDescent="0.25">
      <c r="C34" s="30" t="s">
        <v>90</v>
      </c>
      <c r="D34" s="105">
        <f>ROUNDUP(IFERROR((Data!L34/Data!L12)*360,0),0)</f>
        <v>27</v>
      </c>
      <c r="E34" s="106">
        <f>ROUNDUP(IFERROR((Data!M34/Data!M12)*360,0),0)</f>
        <v>30</v>
      </c>
      <c r="F34" s="106">
        <f>ROUNDUP(IFERROR((Data!N34/Data!N12)*360,0),0)</f>
        <v>31</v>
      </c>
      <c r="G34" s="106">
        <f>ROUNDUP(IFERROR((Data!O34/Data!O12)*360,0),0)</f>
        <v>34</v>
      </c>
      <c r="H34" s="107">
        <f>ROUNDUP(IFERROR((Data!P34/Data!P12)*360,0),0)</f>
        <v>28</v>
      </c>
      <c r="I34" s="107">
        <f>ROUNDUP(IFERROR((Data!Q34/Data!Q12)*360,0),0)</f>
        <v>31</v>
      </c>
      <c r="J34" s="108">
        <f>ROUNDUP(IFERROR((Data!R34/Data!R12)*360,0),0)</f>
        <v>30</v>
      </c>
    </row>
    <row r="35" spans="2:10" ht="16.5" thickBot="1" x14ac:dyDescent="0.3">
      <c r="C35" s="109" t="s">
        <v>91</v>
      </c>
      <c r="D35" s="110">
        <f>ROUNDUP(IFERROR((Data!L45/Data!L12)*360,0),0)</f>
        <v>66</v>
      </c>
      <c r="E35" s="111">
        <f>ROUNDUP(IFERROR((Data!M45/Data!M12)*360,0),0)</f>
        <v>86</v>
      </c>
      <c r="F35" s="111">
        <f>ROUNDUP(IFERROR((Data!N45/Data!N12)*360,0),0)</f>
        <v>80</v>
      </c>
      <c r="G35" s="111">
        <f>ROUNDUP(IFERROR((Data!O45/Data!O12)*360,0),0)</f>
        <v>62</v>
      </c>
      <c r="H35" s="112">
        <f>ROUNDUP(IFERROR((Data!P45/Data!P12)*360,0),0)</f>
        <v>61</v>
      </c>
      <c r="I35" s="112">
        <f>ROUNDUP(IFERROR((Data!Q45/Data!Q12)*360,0),0)</f>
        <v>65</v>
      </c>
      <c r="J35" s="113">
        <f>ROUNDUP(IFERROR((Data!R45/Data!R12)*360,0),0)</f>
        <v>71</v>
      </c>
    </row>
    <row r="36" spans="2:10" ht="17.25" thickTop="1" thickBot="1" x14ac:dyDescent="0.3">
      <c r="C36" s="114" t="s">
        <v>92</v>
      </c>
      <c r="D36" s="115">
        <f>D37-D35</f>
        <v>35</v>
      </c>
      <c r="E36" s="116">
        <f t="shared" ref="E36:J36" si="0">E37-E35</f>
        <v>25</v>
      </c>
      <c r="F36" s="116">
        <f t="shared" si="0"/>
        <v>13</v>
      </c>
      <c r="G36" s="116">
        <f t="shared" si="0"/>
        <v>36</v>
      </c>
      <c r="H36" s="117">
        <f t="shared" si="0"/>
        <v>32</v>
      </c>
      <c r="I36" s="117">
        <f t="shared" si="0"/>
        <v>21</v>
      </c>
      <c r="J36" s="118">
        <f t="shared" si="0"/>
        <v>18</v>
      </c>
    </row>
    <row r="37" spans="2:10" ht="16.5" thickBot="1" x14ac:dyDescent="0.3">
      <c r="C37" s="119" t="s">
        <v>93</v>
      </c>
      <c r="D37" s="120">
        <f>D33+D34</f>
        <v>101</v>
      </c>
      <c r="E37" s="121">
        <f t="shared" ref="E37:J37" si="1">E33+E34</f>
        <v>111</v>
      </c>
      <c r="F37" s="121">
        <f t="shared" si="1"/>
        <v>93</v>
      </c>
      <c r="G37" s="121">
        <f t="shared" si="1"/>
        <v>98</v>
      </c>
      <c r="H37" s="122">
        <f t="shared" si="1"/>
        <v>93</v>
      </c>
      <c r="I37" s="122">
        <f t="shared" si="1"/>
        <v>86</v>
      </c>
      <c r="J37" s="123">
        <f t="shared" si="1"/>
        <v>89</v>
      </c>
    </row>
    <row r="38" spans="2:10" x14ac:dyDescent="0.25">
      <c r="C38" s="124" t="s">
        <v>94</v>
      </c>
      <c r="D38" s="125">
        <f>IFERROR(Data!L11/Data!L32,0)</f>
        <v>4.8997951152883026</v>
      </c>
      <c r="E38" s="126">
        <f>IFERROR(Data!M11/Data!M32,0)</f>
        <v>4.4611013129531649</v>
      </c>
      <c r="F38" s="126">
        <f>IFERROR(Data!N11/Data!N32,0)</f>
        <v>5.8577195225631113</v>
      </c>
      <c r="G38" s="126">
        <f>IFERROR(Data!O11/Data!O32,0)</f>
        <v>5.6315535934241492</v>
      </c>
      <c r="H38" s="127">
        <f>IFERROR(Data!P11/Data!P32,0)</f>
        <v>5.5549994518144947</v>
      </c>
      <c r="I38" s="127">
        <f>IFERROR(Data!Q11/Data!Q32,0)</f>
        <v>6.5482592047128128</v>
      </c>
      <c r="J38" s="128">
        <f>IFERROR(Data!R11/Data!R32,0)</f>
        <v>6.1774427546744848</v>
      </c>
    </row>
    <row r="39" spans="2:10" x14ac:dyDescent="0.25">
      <c r="C39" s="77" t="s">
        <v>95</v>
      </c>
      <c r="D39" s="129">
        <f>IFERROR(Data!L12/Data!L34,0)</f>
        <v>13.587863958894053</v>
      </c>
      <c r="E39" s="130">
        <f>IFERROR(Data!M12/Data!M34,0)</f>
        <v>12.324582184700207</v>
      </c>
      <c r="F39" s="130">
        <f>IFERROR(Data!N12/Data!N34,0)</f>
        <v>11.761467215524846</v>
      </c>
      <c r="G39" s="130">
        <f>IFERROR(Data!O12/Data!O34,0)</f>
        <v>10.760573030208658</v>
      </c>
      <c r="H39" s="131">
        <f>IFERROR(Data!P12/Data!P34,0)</f>
        <v>12.888573839662447</v>
      </c>
      <c r="I39" s="131">
        <f>IFERROR(Data!Q12/Data!Q34,0)</f>
        <v>11.889220363013395</v>
      </c>
      <c r="J39" s="132">
        <f>IFERROR(Data!R12/Data!R34,0)</f>
        <v>12.406819608116587</v>
      </c>
    </row>
    <row r="40" spans="2:10" x14ac:dyDescent="0.25">
      <c r="C40" s="30" t="s">
        <v>96</v>
      </c>
      <c r="D40" s="133">
        <f>IFERROR(Data!L12/Data!L45,0)</f>
        <v>5.4693507721399302</v>
      </c>
      <c r="E40" s="134">
        <f>IFERROR(Data!M12/Data!M45,0)</f>
        <v>4.1941264420046611</v>
      </c>
      <c r="F40" s="134">
        <f>IFERROR(Data!N12/Data!N45,0)</f>
        <v>4.5256756565642275</v>
      </c>
      <c r="G40" s="134">
        <f>IFERROR(Data!O12/Data!O45,0)</f>
        <v>5.8823769759186906</v>
      </c>
      <c r="H40" s="135">
        <f>IFERROR(Data!P12/Data!P45,0)</f>
        <v>5.9759911101372598</v>
      </c>
      <c r="I40" s="135">
        <f>IFERROR(Data!Q12/Data!Q45,0)</f>
        <v>5.5785997907239429</v>
      </c>
      <c r="J40" s="136">
        <f>IFERROR(Data!R12/Data!R45,0)</f>
        <v>5.1315786437784077</v>
      </c>
    </row>
    <row r="41" spans="2:10" ht="16.5" thickBot="1" x14ac:dyDescent="0.3">
      <c r="C41" s="137" t="s">
        <v>73</v>
      </c>
      <c r="D41" s="138">
        <f>IFERROR(Data!L11/Data!L42,0)</f>
        <v>0.39015718281818657</v>
      </c>
      <c r="E41" s="139">
        <f>IFERROR(Data!M11/Data!M42,0)</f>
        <v>0.40604593232966996</v>
      </c>
      <c r="F41" s="139">
        <f>IFERROR(Data!N11/Data!N42,0)</f>
        <v>0.44819307963971722</v>
      </c>
      <c r="G41" s="139">
        <f>IFERROR(Data!O11/Data!O42,0)</f>
        <v>0.44786648497398268</v>
      </c>
      <c r="H41" s="140">
        <f>IFERROR(Data!P11/Data!P42,0)</f>
        <v>0.47712977162495512</v>
      </c>
      <c r="I41" s="140">
        <f>IFERROR(Data!Q11/Data!Q42,0)</f>
        <v>0.52837133115406165</v>
      </c>
      <c r="J41" s="141">
        <f>IFERROR(Data!R11/Data!R42,0)</f>
        <v>0.54187506007069652</v>
      </c>
    </row>
    <row r="42" spans="2:10" ht="5.0999999999999996" customHeight="1" thickBot="1" x14ac:dyDescent="0.3"/>
    <row r="43" spans="2:10" ht="19.5" thickBot="1" x14ac:dyDescent="0.35">
      <c r="C43" s="403" t="s">
        <v>97</v>
      </c>
      <c r="D43" s="18"/>
      <c r="E43" s="142"/>
      <c r="F43" s="142"/>
      <c r="G43" s="142"/>
      <c r="H43" s="142"/>
      <c r="I43" s="142"/>
      <c r="J43" s="142"/>
    </row>
    <row r="44" spans="2:10" x14ac:dyDescent="0.25">
      <c r="C44" s="25" t="s">
        <v>98</v>
      </c>
      <c r="D44" s="143">
        <f>IFERROR(Data!L36/Data!L51,0)</f>
        <v>1.6836984364433698</v>
      </c>
      <c r="E44" s="144">
        <f>IFERROR(Data!M36/Data!M51,0)</f>
        <v>1.8036841487739059</v>
      </c>
      <c r="F44" s="144">
        <f>IFERROR(Data!N36/Data!N51,0)</f>
        <v>1.6357343899869492</v>
      </c>
      <c r="G44" s="144">
        <f>IFERROR(Data!O36/Data!O51,0)</f>
        <v>1.5522637838550826</v>
      </c>
      <c r="H44" s="145">
        <f>IFERROR(Data!P36/Data!P51,0)</f>
        <v>1.5037814348409213</v>
      </c>
      <c r="I44" s="145">
        <f>IFERROR(Data!Q36/Data!Q51,0)</f>
        <v>1.8743223878874531</v>
      </c>
      <c r="J44" s="146">
        <f>IFERROR(Data!R36/Data!R51,0)</f>
        <v>1.5982439399655297</v>
      </c>
    </row>
    <row r="45" spans="2:10" x14ac:dyDescent="0.25">
      <c r="C45" s="30" t="s">
        <v>99</v>
      </c>
      <c r="D45" s="147">
        <f>IFERROR((Data!L36-Data!L34)/Data!L51,0)</f>
        <v>1.5161950039959835</v>
      </c>
      <c r="E45" s="148">
        <f>IFERROR((Data!M36-Data!M34)/Data!M51,0)</f>
        <v>1.622089248699597</v>
      </c>
      <c r="F45" s="148">
        <f>IFERROR((Data!N36-Data!N34)/Data!N51,0)</f>
        <v>1.464606821076466</v>
      </c>
      <c r="G45" s="148">
        <f>IFERROR((Data!O36-Data!O34)/Data!O51,0)</f>
        <v>1.3757886695392192</v>
      </c>
      <c r="H45" s="149">
        <f>IFERROR((Data!P36-Data!P34)/Data!P51,0)</f>
        <v>1.3535635237952781</v>
      </c>
      <c r="I45" s="149">
        <f>IFERROR((Data!Q36-Data!Q34)/Data!Q51,0)</f>
        <v>1.6572589047287789</v>
      </c>
      <c r="J45" s="150">
        <f>IFERROR((Data!R36-Data!R34)/Data!R51,0)</f>
        <v>1.4214420798536369</v>
      </c>
    </row>
    <row r="46" spans="2:10" x14ac:dyDescent="0.25">
      <c r="C46" s="64" t="s">
        <v>100</v>
      </c>
      <c r="D46" s="151">
        <f>IFERROR((Data!L36-Data!L34-Data!L32-Data!L33)/Data!L51,0)</f>
        <v>0.90643250886288651</v>
      </c>
      <c r="E46" s="152">
        <f>IFERROR((Data!M36-Data!M34-Data!M32-Data!M33)/Data!M51,0)</f>
        <v>0.94210958582658677</v>
      </c>
      <c r="F46" s="152">
        <f>IFERROR((Data!N36-Data!N34-Data!N32-Data!N33)/Data!N51,0)</f>
        <v>1.0096797018727297</v>
      </c>
      <c r="G46" s="152">
        <f>IFERROR((Data!O36-Data!O34-Data!O32-Data!O33)/Data!O51,0)</f>
        <v>0.93655744372142091</v>
      </c>
      <c r="H46" s="153">
        <f>IFERROR((Data!P36-Data!P34-Data!P32-Data!P33)/Data!P51,0)</f>
        <v>0.9013049309504676</v>
      </c>
      <c r="I46" s="153">
        <f>IFERROR((Data!Q36-Data!Q34-Data!Q32-Data!Q33)/Data!Q51,0)</f>
        <v>1.1260847403835981</v>
      </c>
      <c r="J46" s="154">
        <f>IFERROR((Data!R36-Data!R34-Data!R32-Data!R33)/Data!R51,0)</f>
        <v>0.9384959821681742</v>
      </c>
    </row>
    <row r="47" spans="2:10" x14ac:dyDescent="0.25">
      <c r="C47" s="30" t="s">
        <v>101</v>
      </c>
      <c r="D47" s="73">
        <f>Data!L36-Data!L51</f>
        <v>86576.916489778552</v>
      </c>
      <c r="E47" s="74">
        <f>Data!M36-Data!M51</f>
        <v>85892.345117577715</v>
      </c>
      <c r="F47" s="74">
        <f>Data!N36-Data!N51</f>
        <v>64186.672678260162</v>
      </c>
      <c r="G47" s="74">
        <f>Data!O36-Data!O51</f>
        <v>66974.482705759641</v>
      </c>
      <c r="H47" s="75">
        <f>Data!P36-Data!P51</f>
        <v>66590.147453083133</v>
      </c>
      <c r="I47" s="75">
        <f>Data!Q36-Data!Q51</f>
        <v>83925.532733287182</v>
      </c>
      <c r="J47" s="76">
        <f>Data!R36-Data!R51</f>
        <v>74036.507442465081</v>
      </c>
    </row>
    <row r="48" spans="2:10" s="156" customFormat="1" x14ac:dyDescent="0.25">
      <c r="B48" s="13"/>
      <c r="C48" s="77" t="s">
        <v>102</v>
      </c>
      <c r="D48" s="155">
        <f>Data!L32+Data!L33+Data!L34-Data!L45</f>
        <v>45729.514279931282</v>
      </c>
      <c r="E48" s="83">
        <f>Data!M32+Data!M33+Data!M34-Data!M45</f>
        <v>35049.279820770244</v>
      </c>
      <c r="F48" s="83">
        <f>Data!N32+Data!N33+Data!N34-Data!N45</f>
        <v>18307.207244393496</v>
      </c>
      <c r="G48" s="83">
        <f>Data!O32+Data!O33+Data!O34-Data!O45</f>
        <v>35518.593932769247</v>
      </c>
      <c r="H48" s="84">
        <f>Data!P32+Data!P33+Data!P34-Data!P45</f>
        <v>36811.997319034854</v>
      </c>
      <c r="I48" s="84">
        <f>Data!Q32+Data!Q33+Data!Q34-Data!Q45</f>
        <v>27417.185937379792</v>
      </c>
      <c r="J48" s="85">
        <f>Data!R32+Data!R33+Data!R34-Data!R45</f>
        <v>28747.017216231237</v>
      </c>
    </row>
    <row r="49" spans="3:11" x14ac:dyDescent="0.25">
      <c r="C49" s="30" t="s">
        <v>103</v>
      </c>
      <c r="D49" s="504" t="s">
        <v>157</v>
      </c>
      <c r="E49" s="61">
        <f>IFERROR((E48-D48)/D48,0)</f>
        <v>-0.23355232670485926</v>
      </c>
      <c r="F49" s="61">
        <f t="shared" ref="F49:J49" si="2">IFERROR((F48-E48)/E48,0)</f>
        <v>-0.47767237050204314</v>
      </c>
      <c r="G49" s="61">
        <f t="shared" si="2"/>
        <v>0.9401426694203544</v>
      </c>
      <c r="H49" s="62">
        <f t="shared" si="2"/>
        <v>3.6414825111427643E-2</v>
      </c>
      <c r="I49" s="62">
        <f t="shared" si="2"/>
        <v>-0.25521058529462526</v>
      </c>
      <c r="J49" s="63">
        <f t="shared" si="2"/>
        <v>4.8503565679160081E-2</v>
      </c>
    </row>
    <row r="50" spans="3:11" x14ac:dyDescent="0.25">
      <c r="C50" s="77" t="s">
        <v>104</v>
      </c>
      <c r="D50" s="78">
        <f>IFERROR(D47/D16,0)</f>
        <v>0.22144536378347021</v>
      </c>
      <c r="E50" s="157">
        <f t="shared" ref="E50:J50" si="3">IFERROR(E47/E16,0)</f>
        <v>0.25790718835304821</v>
      </c>
      <c r="F50" s="157">
        <f t="shared" si="3"/>
        <v>0.23102469395404968</v>
      </c>
      <c r="G50" s="157">
        <f t="shared" si="3"/>
        <v>0.21760918031792853</v>
      </c>
      <c r="H50" s="158">
        <f t="shared" si="3"/>
        <v>0.19608858994437231</v>
      </c>
      <c r="I50" s="158">
        <f t="shared" si="3"/>
        <v>0.24536262771384904</v>
      </c>
      <c r="J50" s="159">
        <f t="shared" si="3"/>
        <v>0.19923730316706412</v>
      </c>
    </row>
    <row r="51" spans="3:11" x14ac:dyDescent="0.25">
      <c r="C51" s="30" t="s">
        <v>105</v>
      </c>
      <c r="D51" s="69">
        <f>IFERROR(D48/D16,0)</f>
        <v>0.11696638475864805</v>
      </c>
      <c r="E51" s="61">
        <f t="shared" ref="E51:J51" si="4">IFERROR(E48/E16,0)</f>
        <v>0.10524175582818233</v>
      </c>
      <c r="F51" s="61">
        <f t="shared" si="4"/>
        <v>6.5892447361925024E-2</v>
      </c>
      <c r="G51" s="61">
        <f t="shared" si="4"/>
        <v>0.11540473027185584</v>
      </c>
      <c r="H51" s="62">
        <f t="shared" si="4"/>
        <v>0.10840061065206943</v>
      </c>
      <c r="I51" s="62">
        <f t="shared" si="4"/>
        <v>8.0156211906254854E-2</v>
      </c>
      <c r="J51" s="63">
        <f t="shared" si="4"/>
        <v>7.7360188670568861E-2</v>
      </c>
    </row>
    <row r="52" spans="3:11" x14ac:dyDescent="0.25">
      <c r="C52" s="499" t="s">
        <v>106</v>
      </c>
      <c r="D52" s="505" t="s">
        <v>157</v>
      </c>
      <c r="E52" s="500">
        <f>'Flujo de Caja'!D20/'Resumen Ejecutivo'!E21</f>
        <v>0.44577678103479562</v>
      </c>
      <c r="F52" s="500">
        <f>'Flujo de Caja'!E20/'Resumen Ejecutivo'!F21</f>
        <v>2.3326065319618356E-2</v>
      </c>
      <c r="G52" s="500">
        <f>'Flujo de Caja'!F20/'Resumen Ejecutivo'!G21</f>
        <v>-0.48278247347413483</v>
      </c>
      <c r="H52" s="501">
        <f>'Flujo de Caja'!G20/'Resumen Ejecutivo'!H21</f>
        <v>1.4276928854138969E-2</v>
      </c>
      <c r="I52" s="501">
        <f>'Flujo de Caja'!H20/'Resumen Ejecutivo'!I21</f>
        <v>0.5595418700913577</v>
      </c>
      <c r="J52" s="502">
        <f>IFERROR('Flujo de Caja'!I20/'Resumen Ejecutivo'!J21,0)</f>
        <v>5.2160662298478336E-2</v>
      </c>
    </row>
    <row r="53" spans="3:11" ht="16.5" customHeight="1" thickBot="1" x14ac:dyDescent="0.3">
      <c r="C53" s="503" t="s">
        <v>160</v>
      </c>
      <c r="D53" s="509" t="s">
        <v>157</v>
      </c>
      <c r="E53" s="510">
        <f>IFERROR('Flujo de Caja'!D15/(-Data!M18+Data!M47+Data!M70),0)</f>
        <v>2.659445267675034</v>
      </c>
      <c r="F53" s="510">
        <f>IFERROR('Flujo de Caja'!E15/(-Data!N18+Data!N47+Data!N70),0)</f>
        <v>1.0746294772657898</v>
      </c>
      <c r="G53" s="510">
        <f>IFERROR('Flujo de Caja'!F15/(-Data!O18+Data!O47+Data!O70),0)</f>
        <v>-8.0525837391331248E-2</v>
      </c>
      <c r="H53" s="510">
        <f>IFERROR('Flujo de Caja'!G15/(-Data!P18+Data!P47+Data!P70),0)</f>
        <v>1.0339164213671348</v>
      </c>
      <c r="I53" s="510">
        <f>IFERROR('Flujo de Caja'!H15/(-Data!Q18+Data!Q47+Data!Q70),0)</f>
        <v>3.4626118177266432</v>
      </c>
      <c r="J53" s="511">
        <f>IFERROR('Flujo de Caja'!I15/(-Data!R18+Data!R47+Data!R70),0)</f>
        <v>1.1807971193611859</v>
      </c>
      <c r="K53" s="516"/>
    </row>
    <row r="54" spans="3:11" ht="4.5" customHeight="1" thickBot="1" x14ac:dyDescent="0.3"/>
    <row r="55" spans="3:11" ht="19.5" thickBot="1" x14ac:dyDescent="0.35">
      <c r="C55" s="467" t="s">
        <v>107</v>
      </c>
      <c r="D55" s="18"/>
      <c r="E55" s="55"/>
      <c r="F55" s="55"/>
      <c r="G55" s="55"/>
      <c r="H55" s="55"/>
      <c r="I55" s="55"/>
      <c r="J55" s="55"/>
    </row>
    <row r="56" spans="3:11" x14ac:dyDescent="0.25">
      <c r="C56" s="25" t="s">
        <v>72</v>
      </c>
      <c r="D56" s="163">
        <f>IFERROR(Data!L26/Data!L11,0)</f>
        <v>7.4538143867339077E-2</v>
      </c>
      <c r="E56" s="164">
        <f>IFERROR(Data!M26/Data!M11,0)</f>
        <v>8.7491449907439359E-2</v>
      </c>
      <c r="F56" s="164">
        <f>IFERROR(Data!N26/Data!N11,0)</f>
        <v>0.11797282842227483</v>
      </c>
      <c r="G56" s="164">
        <f>IFERROR(Data!O26/Data!O11,0)</f>
        <v>0.11300635272283525</v>
      </c>
      <c r="H56" s="165">
        <f>IFERROR(Data!P26/Data!P11,0)</f>
        <v>7.7539391893958892E-2</v>
      </c>
      <c r="I56" s="165">
        <f>IFERROR(Data!Q26/Data!Q11,0)</f>
        <v>0.12211499621705214</v>
      </c>
      <c r="J56" s="166">
        <f>IFERROR(Data!R26/Data!R11,0)</f>
        <v>7.7413564310255353E-2</v>
      </c>
    </row>
    <row r="57" spans="3:11" x14ac:dyDescent="0.25">
      <c r="C57" s="30" t="s">
        <v>74</v>
      </c>
      <c r="D57" s="167">
        <f>IFERROR(Data!L26/Data!L42,0)</f>
        <v>2.9081592223777701E-2</v>
      </c>
      <c r="E57" s="61">
        <f>IFERROR(Data!M26/Data!M42,0)</f>
        <v>3.5525547348540833E-2</v>
      </c>
      <c r="F57" s="61">
        <f>IFERROR(Data!N26/Data!N42,0)</f>
        <v>5.2874605284387324E-2</v>
      </c>
      <c r="G57" s="61">
        <f>IFERROR(Data!O26/Data!O42,0)</f>
        <v>5.0611757973706283E-2</v>
      </c>
      <c r="H57" s="62">
        <f>IFERROR(Data!P26/Data!P42,0)</f>
        <v>3.6996352346302504E-2</v>
      </c>
      <c r="I57" s="62">
        <f>IFERROR(Data!Q26/Data!Q42,0)</f>
        <v>6.4522063105077049E-2</v>
      </c>
      <c r="J57" s="63">
        <f>IFERROR(Data!R26/Data!R42,0)</f>
        <v>4.1948479810906346E-2</v>
      </c>
    </row>
    <row r="58" spans="3:11" x14ac:dyDescent="0.25">
      <c r="C58" s="64" t="s">
        <v>108</v>
      </c>
      <c r="D58" s="168">
        <f>IFERROR(Data!L26/Data!L37,0)</f>
        <v>0.13689022160462225</v>
      </c>
      <c r="E58" s="70">
        <f>IFERROR(Data!M26/Data!M37,0)</f>
        <v>0.17154014808690324</v>
      </c>
      <c r="F58" s="70">
        <f>IFERROR(Data!N26/Data!N37,0)</f>
        <v>9.9572502826188458E-2</v>
      </c>
      <c r="G58" s="70">
        <f>IFERROR(Data!O26/Data!O37,0)</f>
        <v>9.8196417297608543E-2</v>
      </c>
      <c r="H58" s="71">
        <f>IFERROR(Data!P26/Data!P37,0)</f>
        <v>7.3883575117256101E-2</v>
      </c>
      <c r="I58" s="71">
        <f>IFERROR(Data!Q26/Data!Q37,0)</f>
        <v>0.13020914770607087</v>
      </c>
      <c r="J58" s="72">
        <f>IFERROR(Data!R26/Data!R37,0)</f>
        <v>8.8229871417033146E-2</v>
      </c>
    </row>
    <row r="59" spans="3:11" x14ac:dyDescent="0.25">
      <c r="C59" s="30" t="s">
        <v>76</v>
      </c>
      <c r="D59" s="167">
        <f>IFERROR(Data!L26/Data!L63,0)</f>
        <v>3.5459586579527524E-2</v>
      </c>
      <c r="E59" s="61">
        <f>IFERROR(Data!M26/Data!M63,0)</f>
        <v>4.3578771672641917E-2</v>
      </c>
      <c r="F59" s="61">
        <f>IFERROR(Data!N26/Data!N63,0)</f>
        <v>7.436119819279885E-2</v>
      </c>
      <c r="G59" s="61">
        <f>IFERROR(Data!O26/Data!O63,0)</f>
        <v>7.1655584124902583E-2</v>
      </c>
      <c r="H59" s="62">
        <f>IFERROR(Data!P26/Data!P63,0)</f>
        <v>5.2479649058126084E-2</v>
      </c>
      <c r="I59" s="62">
        <f>IFERROR(Data!Q26/Data!Q63,0)</f>
        <v>8.4864084547107921E-2</v>
      </c>
      <c r="J59" s="63">
        <f>IFERROR(Data!R26/Data!R63,0)</f>
        <v>5.7180861549323364E-2</v>
      </c>
    </row>
    <row r="60" spans="3:11" x14ac:dyDescent="0.25">
      <c r="C60" s="77" t="s">
        <v>62</v>
      </c>
      <c r="D60" s="169" t="s">
        <v>157</v>
      </c>
      <c r="E60" s="83">
        <f>IF(Data!M70=0,((Data!L61+Data!L26)-Data!M61)-(Data!M48-Data!L48),Data!M70)</f>
        <v>13736.906782140559</v>
      </c>
      <c r="F60" s="83">
        <f>IF(Data!N70=0,((Data!M61+Data!M26)-Data!N61)-(Data!N48-Data!M48),Data!N70)</f>
        <v>11383.502621075928</v>
      </c>
      <c r="G60" s="83">
        <f>IF(Data!O70=0,((Data!N61+Data!N26)-Data!O61)-(Data!O48-Data!N48),Data!O70)</f>
        <v>13224.536859609892</v>
      </c>
      <c r="H60" s="84">
        <f>IF(Data!P70=0,((Data!O61+Data!O26)-Data!P61)-(Data!P48-Data!O48),Data!P70)</f>
        <v>12682.975871313673</v>
      </c>
      <c r="I60" s="84">
        <f>IF(Data!Q70=0,((Data!P61+Data!P26)-Data!Q61)-(Data!Q48-Data!P48),Data!Q70)</f>
        <v>9037.6182783291024</v>
      </c>
      <c r="J60" s="85">
        <f>IF(Data!R70=0,((Data!Q61+Data!Q26)-Data!R61)-(Data!R48-Data!Q48),Data!R70)</f>
        <v>12500.839146328812</v>
      </c>
    </row>
    <row r="61" spans="3:11" x14ac:dyDescent="0.25">
      <c r="C61" s="30" t="s">
        <v>109</v>
      </c>
      <c r="D61" s="170" t="s">
        <v>157</v>
      </c>
      <c r="E61" s="171" t="s">
        <v>157</v>
      </c>
      <c r="F61" s="61">
        <f>(F60-E60)/E60</f>
        <v>-0.17131980280482845</v>
      </c>
      <c r="G61" s="61">
        <f t="shared" ref="G61:J61" si="5">(G60-F60)/F60</f>
        <v>0.16172827466349338</v>
      </c>
      <c r="H61" s="62">
        <f t="shared" si="5"/>
        <v>-4.0951225290183454E-2</v>
      </c>
      <c r="I61" s="62">
        <f t="shared" si="5"/>
        <v>-0.2874213142066786</v>
      </c>
      <c r="J61" s="63">
        <f t="shared" si="5"/>
        <v>0.38320061340762873</v>
      </c>
    </row>
    <row r="62" spans="3:11" ht="16.5" customHeight="1" thickBot="1" x14ac:dyDescent="0.3">
      <c r="C62" s="137" t="s">
        <v>110</v>
      </c>
      <c r="D62" s="172" t="s">
        <v>157</v>
      </c>
      <c r="E62" s="160">
        <f t="shared" ref="E62:J62" si="6">E60/D27</f>
        <v>0.4713840197865023</v>
      </c>
      <c r="F62" s="160">
        <f t="shared" si="6"/>
        <v>0.39067829583307245</v>
      </c>
      <c r="G62" s="160">
        <f t="shared" si="6"/>
        <v>0.40347071687722141</v>
      </c>
      <c r="H62" s="161">
        <f t="shared" si="6"/>
        <v>0.36465834205401809</v>
      </c>
      <c r="I62" s="161">
        <f t="shared" si="6"/>
        <v>0.34322107748789732</v>
      </c>
      <c r="J62" s="162">
        <f t="shared" si="6"/>
        <v>0.29928467143401716</v>
      </c>
    </row>
    <row r="63" spans="3:11" ht="4.5" customHeight="1" thickBot="1" x14ac:dyDescent="0.3">
      <c r="E63" s="173"/>
      <c r="F63" s="173"/>
      <c r="G63" s="173"/>
      <c r="H63" s="173"/>
      <c r="I63" s="173"/>
      <c r="J63" s="173"/>
    </row>
    <row r="64" spans="3:11" ht="19.5" thickBot="1" x14ac:dyDescent="0.35">
      <c r="C64" s="405" t="s">
        <v>111</v>
      </c>
      <c r="D64" s="18"/>
      <c r="E64" s="55"/>
      <c r="F64" s="56"/>
      <c r="G64" s="55"/>
      <c r="H64" s="174"/>
      <c r="I64" s="100"/>
      <c r="J64" s="174"/>
    </row>
    <row r="65" spans="3:10" x14ac:dyDescent="0.25">
      <c r="C65" s="175" t="s">
        <v>17</v>
      </c>
      <c r="D65" s="176">
        <f>Data!L18</f>
        <v>0</v>
      </c>
      <c r="E65" s="177">
        <f>Data!M18</f>
        <v>0</v>
      </c>
      <c r="F65" s="177">
        <f>Data!N18</f>
        <v>-1694.2533188123716</v>
      </c>
      <c r="G65" s="177">
        <f>Data!O18</f>
        <v>-5502.3644404157685</v>
      </c>
      <c r="H65" s="178">
        <f>Data!P18</f>
        <v>-6188.0026809651472</v>
      </c>
      <c r="I65" s="178">
        <f>Data!Q18</f>
        <v>-3692.2840218478345</v>
      </c>
      <c r="J65" s="179">
        <f>Data!R18</f>
        <v>-3269.6192411676034</v>
      </c>
    </row>
    <row r="66" spans="3:10" x14ac:dyDescent="0.25">
      <c r="C66" s="77" t="s">
        <v>112</v>
      </c>
      <c r="D66" s="155">
        <f>Data!L46+Data!L47+Data!L49+Data!L52</f>
        <v>47619.665460886536</v>
      </c>
      <c r="E66" s="83">
        <f>Data!M46+Data!M47+Data!M49+Data!M52</f>
        <v>32724.476062295711</v>
      </c>
      <c r="F66" s="83">
        <f>Data!N46+Data!N47+Data!N49+Data!N52</f>
        <v>39409.805459331255</v>
      </c>
      <c r="G66" s="83">
        <f>Data!O46+Data!O47+Data!O49+Data!O52</f>
        <v>61945.006348497518</v>
      </c>
      <c r="H66" s="84">
        <f>Data!P46+Data!P47+Data!P49+Data!P52</f>
        <v>69475.201072386059</v>
      </c>
      <c r="I66" s="84">
        <f>Data!Q46+Data!Q47+Data!Q49+Data!Q52</f>
        <v>34176.167397492114</v>
      </c>
      <c r="J66" s="85">
        <f>Data!R46+Data!R47+Data!R49+Data!R52</f>
        <v>48668.961350445818</v>
      </c>
    </row>
    <row r="67" spans="3:10" x14ac:dyDescent="0.25">
      <c r="C67" s="30" t="s">
        <v>113</v>
      </c>
      <c r="D67" s="180" t="s">
        <v>157</v>
      </c>
      <c r="E67" s="61">
        <f>IFERROR((E66-D66)/D66,0)</f>
        <v>-0.31279491895686073</v>
      </c>
      <c r="F67" s="61">
        <f t="shared" ref="F67:J67" si="7">IFERROR((F66-E66)/E66,0)</f>
        <v>0.20429141124548689</v>
      </c>
      <c r="G67" s="61">
        <f t="shared" si="7"/>
        <v>0.5718171055784923</v>
      </c>
      <c r="H67" s="62">
        <f t="shared" si="7"/>
        <v>0.12156257893532665</v>
      </c>
      <c r="I67" s="62">
        <f t="shared" si="7"/>
        <v>-0.50808105813347637</v>
      </c>
      <c r="J67" s="63">
        <f t="shared" si="7"/>
        <v>0.42406141637804595</v>
      </c>
    </row>
    <row r="68" spans="3:10" x14ac:dyDescent="0.25">
      <c r="C68" s="181" t="s">
        <v>114</v>
      </c>
      <c r="D68" s="182">
        <f t="shared" ref="D68:J68" si="8">IFERROR(D66/D21,0)</f>
        <v>0.90448026023953865</v>
      </c>
      <c r="E68" s="183">
        <f t="shared" si="8"/>
        <v>0.63993853346738272</v>
      </c>
      <c r="F68" s="183">
        <f t="shared" si="8"/>
        <v>0.94189426075870608</v>
      </c>
      <c r="G68" s="183">
        <f t="shared" si="8"/>
        <v>1.4779397148740945</v>
      </c>
      <c r="H68" s="184">
        <f t="shared" si="8"/>
        <v>1.5497447167963638</v>
      </c>
      <c r="I68" s="184">
        <f t="shared" si="8"/>
        <v>0.61000714011094637</v>
      </c>
      <c r="J68" s="185">
        <f t="shared" si="8"/>
        <v>0.89034710669986272</v>
      </c>
    </row>
    <row r="69" spans="3:10" x14ac:dyDescent="0.25">
      <c r="C69" s="186" t="s">
        <v>115</v>
      </c>
      <c r="D69" s="147">
        <f t="shared" ref="D69:J69" si="9">IFERROR(D66/D16,0)</f>
        <v>0.12180099001883664</v>
      </c>
      <c r="E69" s="148">
        <f t="shared" si="9"/>
        <v>9.8261115120328826E-2</v>
      </c>
      <c r="F69" s="148">
        <f t="shared" si="9"/>
        <v>0.14184624105175581</v>
      </c>
      <c r="G69" s="148">
        <f t="shared" si="9"/>
        <v>0.20126772931575318</v>
      </c>
      <c r="H69" s="149">
        <f t="shared" si="9"/>
        <v>0.20458423258462335</v>
      </c>
      <c r="I69" s="149">
        <f t="shared" si="9"/>
        <v>9.9916604217289651E-2</v>
      </c>
      <c r="J69" s="150">
        <f t="shared" si="9"/>
        <v>0.13097150233538954</v>
      </c>
    </row>
    <row r="70" spans="3:10" x14ac:dyDescent="0.25">
      <c r="C70" s="77" t="s">
        <v>116</v>
      </c>
      <c r="D70" s="86" t="s">
        <v>157</v>
      </c>
      <c r="E70" s="79">
        <f>AVERAGE(Data!L18:M18)/AVERAGE('Resumen Ejecutivo'!D66:E66)*-1</f>
        <v>0</v>
      </c>
      <c r="F70" s="79">
        <f>AVERAGE(Data!M18:N18)/AVERAGE('Resumen Ejecutivo'!E66:F66)*-1</f>
        <v>2.3487491426727642E-2</v>
      </c>
      <c r="G70" s="79">
        <f>AVERAGE(Data!N18:O18)/AVERAGE('Resumen Ejecutivo'!F66:G66)*-1</f>
        <v>7.1004204249060274E-2</v>
      </c>
      <c r="H70" s="80">
        <f>AVERAGE(Data!O18:P18)/AVERAGE('Resumen Ejecutivo'!G66:H66)*-1</f>
        <v>8.8954106455954626E-2</v>
      </c>
      <c r="I70" s="80">
        <f>AVERAGE(Data!P18:Q18)/AVERAGE('Resumen Ejecutivo'!H66:I66)*-1</f>
        <v>9.5322298669739847E-2</v>
      </c>
      <c r="J70" s="81">
        <f>AVERAGE(Data!Q18:R18)/AVERAGE('Resumen Ejecutivo'!I66:J66)*-1</f>
        <v>8.4035155334208148E-2</v>
      </c>
    </row>
    <row r="71" spans="3:10" x14ac:dyDescent="0.25">
      <c r="C71" s="30" t="s">
        <v>117</v>
      </c>
      <c r="D71" s="147">
        <f>IFERROR(Data!L15/-Data!L18,0)</f>
        <v>0</v>
      </c>
      <c r="E71" s="148">
        <f>IFERROR(Data!M15/-Data!M18,0)</f>
        <v>0</v>
      </c>
      <c r="F71" s="148">
        <f>IFERROR(Data!N15/-Data!N18,0)</f>
        <v>24.695839580209896</v>
      </c>
      <c r="G71" s="148">
        <f>IFERROR(Data!O15/-Data!O18,0)</f>
        <v>7.6172854460662585</v>
      </c>
      <c r="H71" s="149">
        <f>IFERROR(Data!P15/-Data!P18,0)</f>
        <v>7.2446791226645013</v>
      </c>
      <c r="I71" s="149">
        <f>IFERROR(Data!Q15/-Data!Q18,0)</f>
        <v>15.173764480373364</v>
      </c>
      <c r="J71" s="150">
        <f>IFERROR(Data!R15/-Data!R18,0)</f>
        <v>16.718432104526364</v>
      </c>
    </row>
    <row r="72" spans="3:10" x14ac:dyDescent="0.25">
      <c r="C72" s="77" t="s">
        <v>118</v>
      </c>
      <c r="D72" s="182">
        <f>IFERROR(-D21/(D65+Data!L47),0)</f>
        <v>0</v>
      </c>
      <c r="E72" s="183">
        <f>IFERROR(-E21/(E65+Data!M47),0)</f>
        <v>0</v>
      </c>
      <c r="F72" s="183">
        <f>IFERROR(F21/(-F65+Data!N47),0)</f>
        <v>24.695839580209896</v>
      </c>
      <c r="G72" s="183">
        <f>IFERROR(G21/(-G65+Data!O47),0)</f>
        <v>7.6172854460662585</v>
      </c>
      <c r="H72" s="184">
        <f>IFERROR(H21/(-H65+Data!P47),0)</f>
        <v>7.2446791226645013</v>
      </c>
      <c r="I72" s="184">
        <f>IFERROR(I21/(-I65+Data!Q47),0)</f>
        <v>15.173764480373364</v>
      </c>
      <c r="J72" s="185">
        <f>IFERROR(J21/(-J65+Data!R47),0)</f>
        <v>16.718432104526364</v>
      </c>
    </row>
    <row r="73" spans="3:10" x14ac:dyDescent="0.25">
      <c r="C73" s="30" t="s">
        <v>119</v>
      </c>
      <c r="D73" s="167">
        <f>IFERROR(Data!L55/Data!L42,0)</f>
        <v>0.17986657406299639</v>
      </c>
      <c r="E73" s="61">
        <f>IFERROR(Data!M55/Data!M42,0)</f>
        <v>0.18479695537533419</v>
      </c>
      <c r="F73" s="61">
        <f>IFERROR(Data!N55/Data!N42,0)</f>
        <v>0.28894898724873297</v>
      </c>
      <c r="G73" s="61">
        <f>IFERROR(Data!O55/Data!O42,0)</f>
        <v>0.29368019824546943</v>
      </c>
      <c r="H73" s="62">
        <f>IFERROR(Data!P55/Data!P42,0)</f>
        <v>0.29503430357688537</v>
      </c>
      <c r="I73" s="62">
        <f>IFERROR(Data!Q55/Data!Q42,0)</f>
        <v>0.23970118278644767</v>
      </c>
      <c r="J73" s="63">
        <f>IFERROR(Data!R55/Data!R42,0)</f>
        <v>0.26638951085544232</v>
      </c>
    </row>
    <row r="74" spans="3:10" x14ac:dyDescent="0.25">
      <c r="C74" s="77" t="s">
        <v>120</v>
      </c>
      <c r="D74" s="78">
        <f>IFERROR(Data!L51/Data!L55,0)</f>
        <v>0.70257250466471632</v>
      </c>
      <c r="E74" s="79">
        <f>IFERROR(Data!M51/Data!M55,0)</f>
        <v>0.70511247218185269</v>
      </c>
      <c r="F74" s="79">
        <f>IFERROR(Data!N51/Data!N55,0)</f>
        <v>0.56367226761160083</v>
      </c>
      <c r="G74" s="79">
        <f>IFERROR(Data!O51/Data!O55,0)</f>
        <v>0.60090324391713934</v>
      </c>
      <c r="H74" s="80">
        <f>IFERROR(Data!P51/Data!P55,0)</f>
        <v>0.62946873857929175</v>
      </c>
      <c r="I74" s="80">
        <f>IFERROR(Data!Q51/Data!Q55,0)</f>
        <v>0.6185942562971718</v>
      </c>
      <c r="J74" s="81">
        <f>IFERROR(Data!R51/Data!R55,0)</f>
        <v>0.67744554187525363</v>
      </c>
    </row>
    <row r="75" spans="3:10" x14ac:dyDescent="0.25">
      <c r="C75" s="30" t="s">
        <v>121</v>
      </c>
      <c r="D75" s="477">
        <f>IFERROR(D66/Data!L63,0)</f>
        <v>5.7943658467427966E-2</v>
      </c>
      <c r="E75" s="148">
        <f>IFERROR(E66/Data!M63,0)</f>
        <v>4.8943053345877702E-2</v>
      </c>
      <c r="F75" s="148">
        <f>IFERROR(F66/Data!N63,0)</f>
        <v>8.9409201973168595E-2</v>
      </c>
      <c r="G75" s="148">
        <f>IFERROR(G66/Data!O63,0)</f>
        <v>0.12762076079904153</v>
      </c>
      <c r="H75" s="149">
        <f>IFERROR(H66/Data!P63,0)</f>
        <v>0.13846521705444995</v>
      </c>
      <c r="I75" s="149">
        <f>IFERROR(I66/Data!Q63,0)</f>
        <v>6.9437263322552789E-2</v>
      </c>
      <c r="J75" s="150">
        <f>IFERROR(J66/Data!R63,0)</f>
        <v>9.6740970509152466E-2</v>
      </c>
    </row>
    <row r="76" spans="3:10" ht="16.5" customHeight="1" thickBot="1" x14ac:dyDescent="0.3">
      <c r="C76" s="137" t="s">
        <v>122</v>
      </c>
      <c r="D76" s="138">
        <f>IFERROR(Data!L55/Data!L63,0)</f>
        <v>0.21931379501755896</v>
      </c>
      <c r="E76" s="139">
        <f>IFERROR(Data!M55/Data!M63,0)</f>
        <v>0.22668825465490997</v>
      </c>
      <c r="F76" s="139">
        <f>IFERROR(Data!N55/Data!N63,0)</f>
        <v>0.40636885689917474</v>
      </c>
      <c r="G76" s="139">
        <f>IFERROR(Data!O55/Data!O63,0)</f>
        <v>0.41578927493743539</v>
      </c>
      <c r="H76" s="140">
        <f>IFERROR(Data!P55/Data!P63,0)</f>
        <v>0.41850873748019674</v>
      </c>
      <c r="I76" s="140">
        <f>IFERROR(Data!Q55/Data!Q63,0)</f>
        <v>0.31527233419215034</v>
      </c>
      <c r="J76" s="141">
        <f>IFERROR(Data!R55/Data!R63,0)</f>
        <v>0.36312118596623605</v>
      </c>
    </row>
    <row r="77" spans="3:10" ht="4.5" customHeight="1" thickBot="1" x14ac:dyDescent="0.3"/>
    <row r="78" spans="3:10" ht="19.5" thickBot="1" x14ac:dyDescent="0.35">
      <c r="C78" s="404" t="s">
        <v>123</v>
      </c>
      <c r="D78" s="18"/>
      <c r="E78" s="55"/>
      <c r="F78" s="55"/>
      <c r="G78" s="55"/>
      <c r="H78" s="174"/>
      <c r="I78" s="174"/>
      <c r="J78" s="174"/>
    </row>
    <row r="79" spans="3:10" x14ac:dyDescent="0.25">
      <c r="C79" s="188" t="s">
        <v>61</v>
      </c>
      <c r="D79" s="156"/>
      <c r="E79" s="189">
        <f>Data!M69</f>
        <v>18111.483577572875</v>
      </c>
      <c r="F79" s="190">
        <f>Data!N69</f>
        <v>34778.550041753057</v>
      </c>
      <c r="G79" s="190">
        <f>Data!O69</f>
        <v>21470.91854927667</v>
      </c>
      <c r="H79" s="190">
        <f>Data!P69</f>
        <v>19100.871313672924</v>
      </c>
      <c r="I79" s="190">
        <f>Data!Q69</f>
        <v>9544.7342103238716</v>
      </c>
      <c r="J79" s="191">
        <f>Data!R69</f>
        <v>24268.722117456076</v>
      </c>
    </row>
    <row r="80" spans="3:10" x14ac:dyDescent="0.25">
      <c r="C80" s="192" t="s">
        <v>124</v>
      </c>
      <c r="D80" s="156"/>
      <c r="E80" s="180" t="s">
        <v>157</v>
      </c>
      <c r="F80" s="61">
        <f>IFERROR((F79-E79)/E79,0)</f>
        <v>0.92024854798856515</v>
      </c>
      <c r="G80" s="61">
        <f t="shared" ref="G80:J80" si="10">IFERROR((G79-F79)/F79,0)</f>
        <v>-0.38263905414400645</v>
      </c>
      <c r="H80" s="61">
        <f t="shared" si="10"/>
        <v>-0.11038406345608304</v>
      </c>
      <c r="I80" s="61">
        <f t="shared" si="10"/>
        <v>-0.50029849143627858</v>
      </c>
      <c r="J80" s="63">
        <f t="shared" si="10"/>
        <v>1.5426294313367361</v>
      </c>
    </row>
    <row r="81" spans="3:10" x14ac:dyDescent="0.25">
      <c r="C81" s="193" t="s">
        <v>125</v>
      </c>
      <c r="D81" s="156"/>
      <c r="E81" s="155">
        <f>'Flujo de Caja'!D15</f>
        <v>36532.551734256791</v>
      </c>
      <c r="F81" s="83">
        <f>'Flujo de Caja'!E15</f>
        <v>14053.742029491739</v>
      </c>
      <c r="G81" s="83">
        <f>'Flujo de Caja'!F15</f>
        <v>-1507.9994089293759</v>
      </c>
      <c r="H81" s="83">
        <f>'Flujo de Caja'!G15</f>
        <v>19511.014612468072</v>
      </c>
      <c r="I81" s="83">
        <f>'Flujo de Caja'!H15</f>
        <v>44078.710143098237</v>
      </c>
      <c r="J81" s="85">
        <f>'Flujo de Caja'!I15</f>
        <v>18621.711834961221</v>
      </c>
    </row>
    <row r="82" spans="3:10" x14ac:dyDescent="0.25">
      <c r="C82" s="194" t="s">
        <v>126</v>
      </c>
      <c r="D82" s="156"/>
      <c r="E82" s="180" t="s">
        <v>157</v>
      </c>
      <c r="F82" s="61">
        <f>IFERROR((F81-E81)/E81,0)</f>
        <v>-0.61530905008440839</v>
      </c>
      <c r="G82" s="61">
        <f t="shared" ref="G82:J82" si="11">IFERROR((G81-F81)/F81,0)</f>
        <v>-1.1073023402425377</v>
      </c>
      <c r="H82" s="61">
        <f t="shared" si="11"/>
        <v>-13.938343673702215</v>
      </c>
      <c r="I82" s="61">
        <f t="shared" si="11"/>
        <v>1.259170577163667</v>
      </c>
      <c r="J82" s="63">
        <f t="shared" si="11"/>
        <v>-0.57753501011015917</v>
      </c>
    </row>
    <row r="83" spans="3:10" x14ac:dyDescent="0.25">
      <c r="C83" s="193" t="s">
        <v>127</v>
      </c>
      <c r="E83" s="195">
        <f>'Flujo de Caja'!D18</f>
        <v>36532.551734256791</v>
      </c>
      <c r="F83" s="66">
        <f>'Flujo de Caja'!E18</f>
        <v>12359.488710679369</v>
      </c>
      <c r="G83" s="66">
        <f>'Flujo de Caja'!F18</f>
        <v>-7010.3638493451444</v>
      </c>
      <c r="H83" s="66">
        <f>'Flujo de Caja'!G18</f>
        <v>13323.011931502926</v>
      </c>
      <c r="I83" s="66">
        <f>'Flujo de Caja'!H18</f>
        <v>40386.426121250399</v>
      </c>
      <c r="J83" s="68">
        <f>'Flujo de Caja'!I18</f>
        <v>15352.092593793617</v>
      </c>
    </row>
    <row r="84" spans="3:10" x14ac:dyDescent="0.25">
      <c r="C84" s="194" t="s">
        <v>128</v>
      </c>
      <c r="E84" s="180" t="s">
        <v>157</v>
      </c>
      <c r="F84" s="61">
        <f>IFERROR((F83-E83)/E83,0)</f>
        <v>-0.66168558931814769</v>
      </c>
      <c r="G84" s="61">
        <f t="shared" ref="G84:J84" si="12">IFERROR((G83-F83)/F83,0)</f>
        <v>-1.5672050044665482</v>
      </c>
      <c r="H84" s="61">
        <f t="shared" si="12"/>
        <v>-2.9004736726678546</v>
      </c>
      <c r="I84" s="61">
        <f t="shared" si="12"/>
        <v>2.0313285260786023</v>
      </c>
      <c r="J84" s="63">
        <f t="shared" si="12"/>
        <v>-0.61986998929534631</v>
      </c>
    </row>
    <row r="85" spans="3:10" x14ac:dyDescent="0.25">
      <c r="C85" s="193" t="s">
        <v>129</v>
      </c>
      <c r="E85" s="195">
        <f>'Flujo de Caja'!D20</f>
        <v>22795.644952116232</v>
      </c>
      <c r="F85" s="66">
        <f>'Flujo de Caja'!E20</f>
        <v>975.98608960344063</v>
      </c>
      <c r="G85" s="66">
        <f>'Flujo de Caja'!F20</f>
        <v>-20234.900708955036</v>
      </c>
      <c r="H85" s="66">
        <f>'Flujo de Caja'!G20</f>
        <v>640.03606018925348</v>
      </c>
      <c r="I85" s="66">
        <f>'Flujo de Caja'!H20</f>
        <v>31348.807842921298</v>
      </c>
      <c r="J85" s="68">
        <f>'Flujo de Caja'!I20</f>
        <v>2851.2534474648055</v>
      </c>
    </row>
    <row r="86" spans="3:10" ht="16.5" thickBot="1" x14ac:dyDescent="0.3">
      <c r="C86" s="196" t="s">
        <v>130</v>
      </c>
      <c r="E86" s="197" t="s">
        <v>157</v>
      </c>
      <c r="F86" s="198">
        <f>IFERROR((F85-E85)/E85,0)</f>
        <v>-0.95718541450993977</v>
      </c>
      <c r="G86" s="198">
        <f t="shared" ref="G86:J86" si="13">IFERROR((G85-F85)/F85,0)</f>
        <v>-21.732775727548344</v>
      </c>
      <c r="H86" s="198">
        <f t="shared" si="13"/>
        <v>-1.0316303039681338</v>
      </c>
      <c r="I86" s="198">
        <f t="shared" si="13"/>
        <v>47.979752537148784</v>
      </c>
      <c r="J86" s="199">
        <f t="shared" si="13"/>
        <v>-0.90904746803286707</v>
      </c>
    </row>
    <row r="87" spans="3:10" ht="16.5" thickBot="1" x14ac:dyDescent="0.3"/>
    <row r="88" spans="3:10" ht="41.25" thickBot="1" x14ac:dyDescent="0.35">
      <c r="C88" s="200" t="s">
        <v>131</v>
      </c>
    </row>
    <row r="89" spans="3:10" ht="16.5" thickBot="1" x14ac:dyDescent="0.3"/>
    <row r="90" spans="3:10" ht="19.5" thickBot="1" x14ac:dyDescent="0.35">
      <c r="C90" s="187" t="s">
        <v>138</v>
      </c>
    </row>
    <row r="2020" spans="8957:8957" x14ac:dyDescent="0.25">
      <c r="MFM2020" s="202" t="s">
        <v>133</v>
      </c>
    </row>
  </sheetData>
  <mergeCells count="2">
    <mergeCell ref="F2:G2"/>
    <mergeCell ref="I2:J2"/>
  </mergeCells>
  <pageMargins left="0.74803149606299213" right="0.74803149606299213" top="0.98425196850393704" bottom="0.98425196850393704" header="0.51181102362204722" footer="0.51181102362204722"/>
  <pageSetup scale="41" orientation="portrait" r:id="rId1"/>
  <headerFooter alignWithMargins="0">
    <oddHeader>&amp;C&amp;F</oddHeader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C00"/>
    <pageSetUpPr fitToPage="1"/>
  </sheetPr>
  <dimension ref="A1:MFM2020"/>
  <sheetViews>
    <sheetView showGridLines="0" zoomScale="55" zoomScaleNormal="55" workbookViewId="0">
      <pane xSplit="3" topLeftCell="D1" activePane="topRight" state="frozen"/>
      <selection activeCell="E30" sqref="E30"/>
      <selection pane="topRight"/>
    </sheetView>
  </sheetViews>
  <sheetFormatPr baseColWidth="10" defaultColWidth="10.85546875" defaultRowHeight="15" x14ac:dyDescent="0.25"/>
  <cols>
    <col min="1" max="1" width="4.140625" customWidth="1"/>
    <col min="2" max="2" width="5.140625" customWidth="1"/>
    <col min="3" max="3" width="65.5703125" bestFit="1" customWidth="1"/>
    <col min="4" max="10" width="18.7109375" customWidth="1"/>
  </cols>
  <sheetData>
    <row r="1" spans="1:10" ht="16.5" thickBot="1" x14ac:dyDescent="0.3">
      <c r="A1" s="214"/>
      <c r="B1" s="3"/>
      <c r="C1" s="2"/>
    </row>
    <row r="2" spans="1:10" ht="21" thickBot="1" x14ac:dyDescent="0.35">
      <c r="A2" s="4"/>
      <c r="B2" s="5"/>
      <c r="C2" s="315" t="s">
        <v>6</v>
      </c>
      <c r="D2" s="316"/>
      <c r="E2" s="316"/>
      <c r="F2" s="316"/>
      <c r="G2" s="316"/>
      <c r="H2" s="316"/>
      <c r="I2" s="316"/>
      <c r="J2" s="316"/>
    </row>
    <row r="3" spans="1:10" ht="19.5" thickBot="1" x14ac:dyDescent="0.35">
      <c r="A3" s="4"/>
      <c r="B3" s="5"/>
      <c r="C3" s="450" t="s">
        <v>134</v>
      </c>
      <c r="D3" s="316"/>
      <c r="E3" s="316"/>
      <c r="F3" s="316"/>
      <c r="G3" s="316"/>
      <c r="H3" s="316"/>
      <c r="I3" s="316"/>
      <c r="J3" s="316"/>
    </row>
    <row r="4" spans="1:10" ht="19.5" thickBot="1" x14ac:dyDescent="0.3">
      <c r="A4" s="4"/>
      <c r="B4" s="5"/>
      <c r="C4" s="513" t="str">
        <f>CONCATENATE(Data!K4)</f>
        <v>en USD miles a 31 de diciembre</v>
      </c>
      <c r="D4" s="226">
        <v>2013</v>
      </c>
      <c r="E4" s="227">
        <v>2014</v>
      </c>
      <c r="F4" s="227">
        <v>2015</v>
      </c>
      <c r="G4" s="227">
        <v>2016</v>
      </c>
      <c r="H4" s="228">
        <v>2017</v>
      </c>
      <c r="I4" s="227">
        <v>2018</v>
      </c>
      <c r="J4" s="229">
        <v>2019</v>
      </c>
    </row>
    <row r="5" spans="1:10" ht="16.5" thickBot="1" x14ac:dyDescent="0.3">
      <c r="A5" s="4"/>
      <c r="B5" s="5"/>
      <c r="C5" s="221"/>
      <c r="D5" s="317"/>
      <c r="E5" s="317"/>
      <c r="F5" s="317"/>
      <c r="G5" s="317"/>
      <c r="H5" s="317"/>
      <c r="I5" s="317"/>
      <c r="J5" s="317"/>
    </row>
    <row r="6" spans="1:10" ht="19.5" thickBot="1" x14ac:dyDescent="0.35">
      <c r="A6" s="6"/>
      <c r="B6" s="6"/>
      <c r="C6" s="232" t="s">
        <v>6</v>
      </c>
      <c r="D6" s="221"/>
      <c r="E6" s="221"/>
      <c r="F6" s="221"/>
      <c r="G6" s="221"/>
      <c r="H6" s="221"/>
      <c r="I6" s="221"/>
      <c r="J6" s="221"/>
    </row>
    <row r="7" spans="1:10" ht="16.5" thickBot="1" x14ac:dyDescent="0.3">
      <c r="A7" s="4"/>
      <c r="B7" s="5"/>
      <c r="C7" s="221"/>
      <c r="D7" s="230"/>
      <c r="E7" s="230"/>
      <c r="F7" s="230"/>
      <c r="G7" s="230"/>
      <c r="H7" s="230"/>
      <c r="I7" s="230"/>
      <c r="J7" s="230"/>
    </row>
    <row r="8" spans="1:10" ht="15.75" x14ac:dyDescent="0.25">
      <c r="A8" s="4"/>
      <c r="B8" s="5"/>
      <c r="C8" s="233" t="s">
        <v>7</v>
      </c>
      <c r="D8" s="406">
        <f>Data!L8</f>
        <v>390962.87684954045</v>
      </c>
      <c r="E8" s="407">
        <f>Data!M8</f>
        <v>333035.87102814676</v>
      </c>
      <c r="F8" s="407">
        <f>Data!N8</f>
        <v>273082.45514324633</v>
      </c>
      <c r="G8" s="407">
        <f>Data!O8</f>
        <v>300095.97728537582</v>
      </c>
      <c r="H8" s="408">
        <f>Data!P8</f>
        <v>340080.09383378015</v>
      </c>
      <c r="I8" s="407">
        <f>Data!Q8</f>
        <v>332840.98776828987</v>
      </c>
      <c r="J8" s="409">
        <f>Data!R8</f>
        <v>363622.85407397914</v>
      </c>
    </row>
    <row r="9" spans="1:10" ht="15.75" x14ac:dyDescent="0.25">
      <c r="A9" s="4"/>
      <c r="B9" s="5"/>
      <c r="C9" s="238" t="s">
        <v>8</v>
      </c>
      <c r="D9" s="410">
        <f>Data!L9</f>
        <v>0</v>
      </c>
      <c r="E9" s="411">
        <f>Data!M9</f>
        <v>0</v>
      </c>
      <c r="F9" s="411">
        <f>Data!N9</f>
        <v>-1278.6278326194567</v>
      </c>
      <c r="G9" s="411">
        <f>Data!O9</f>
        <v>-729.16076528554913</v>
      </c>
      <c r="H9" s="412">
        <f>Data!P9</f>
        <v>-5531.5013404825741</v>
      </c>
      <c r="I9" s="411">
        <f>Data!Q9</f>
        <v>-5074.5441957073617</v>
      </c>
      <c r="J9" s="413">
        <f>Data!R9</f>
        <v>-7382.6568288202525</v>
      </c>
    </row>
    <row r="10" spans="1:10" ht="16.5" thickBot="1" x14ac:dyDescent="0.3">
      <c r="A10" s="4"/>
      <c r="B10" s="5"/>
      <c r="C10" s="243" t="s">
        <v>9</v>
      </c>
      <c r="D10" s="414">
        <f>Data!L10</f>
        <v>0</v>
      </c>
      <c r="E10" s="415">
        <f>Data!M10</f>
        <v>0</v>
      </c>
      <c r="F10" s="415">
        <f>Data!N10</f>
        <v>6030.8559852927638</v>
      </c>
      <c r="G10" s="415">
        <f>Data!O10</f>
        <v>8407.3435953491007</v>
      </c>
      <c r="H10" s="416">
        <f>Data!P10</f>
        <v>5043.565683646113</v>
      </c>
      <c r="I10" s="415">
        <f>Data!Q10</f>
        <v>14280.483114085699</v>
      </c>
      <c r="J10" s="417">
        <f>Data!R10</f>
        <v>15359.42925843876</v>
      </c>
    </row>
    <row r="11" spans="1:10" ht="17.25" thickTop="1" thickBot="1" x14ac:dyDescent="0.3">
      <c r="A11" s="4"/>
      <c r="B11" s="3"/>
      <c r="C11" s="445" t="s">
        <v>10</v>
      </c>
      <c r="D11" s="248">
        <f>Data!L11</f>
        <v>390962.87684954045</v>
      </c>
      <c r="E11" s="249">
        <f>Data!M11</f>
        <v>333035.87102814676</v>
      </c>
      <c r="F11" s="249">
        <f>Data!N11</f>
        <v>277834.68329591968</v>
      </c>
      <c r="G11" s="249">
        <f>Data!O11</f>
        <v>307774.16011543933</v>
      </c>
      <c r="H11" s="250">
        <f>Data!P11</f>
        <v>339592.15817694372</v>
      </c>
      <c r="I11" s="251">
        <f>Data!Q11</f>
        <v>342046.92668666819</v>
      </c>
      <c r="J11" s="252">
        <f>Data!R11</f>
        <v>371599.62650359765</v>
      </c>
    </row>
    <row r="12" spans="1:10" ht="16.5" thickBot="1" x14ac:dyDescent="0.3">
      <c r="A12" s="4"/>
      <c r="B12" s="5"/>
      <c r="C12" s="253" t="s">
        <v>11</v>
      </c>
      <c r="D12" s="418">
        <f>Data!L12</f>
        <v>288212.24498269177</v>
      </c>
      <c r="E12" s="419">
        <f>Data!M12</f>
        <v>239191.04185649916</v>
      </c>
      <c r="F12" s="419">
        <f>Data!N12</f>
        <v>203212.60402543921</v>
      </c>
      <c r="G12" s="419">
        <f>Data!O12</f>
        <v>230293.49720566132</v>
      </c>
      <c r="H12" s="420">
        <f>Data!P12</f>
        <v>255914.2091152815</v>
      </c>
      <c r="I12" s="419">
        <f>Data!Q12</f>
        <v>247720.90160781599</v>
      </c>
      <c r="J12" s="421">
        <f>Data!R12</f>
        <v>271465.66823510744</v>
      </c>
    </row>
    <row r="13" spans="1:10" ht="17.25" thickTop="1" thickBot="1" x14ac:dyDescent="0.3">
      <c r="A13" s="4"/>
      <c r="B13" s="3"/>
      <c r="C13" s="258" t="s">
        <v>12</v>
      </c>
      <c r="D13" s="248">
        <f>Data!L13</f>
        <v>102750.63186684866</v>
      </c>
      <c r="E13" s="249">
        <f>Data!M13</f>
        <v>93844.829171647594</v>
      </c>
      <c r="F13" s="249">
        <f>Data!N13</f>
        <v>74622.079270480433</v>
      </c>
      <c r="G13" s="249">
        <f>Data!O13</f>
        <v>77480.662909778024</v>
      </c>
      <c r="H13" s="250">
        <f>Data!P13</f>
        <v>83677.949061662192</v>
      </c>
      <c r="I13" s="249">
        <f>Data!Q13</f>
        <v>94326.025078852224</v>
      </c>
      <c r="J13" s="259">
        <f>Data!R13</f>
        <v>100133.95826849021</v>
      </c>
    </row>
    <row r="14" spans="1:10" ht="16.5" thickBot="1" x14ac:dyDescent="0.3">
      <c r="A14" s="4"/>
      <c r="B14" s="5"/>
      <c r="C14" s="238" t="s">
        <v>13</v>
      </c>
      <c r="D14" s="410">
        <f>Data!L14</f>
        <v>50101.980973931277</v>
      </c>
      <c r="E14" s="411">
        <f>Data!M14</f>
        <v>42707.924061426311</v>
      </c>
      <c r="F14" s="411">
        <f>Data!N14</f>
        <v>32781.071100851892</v>
      </c>
      <c r="G14" s="411">
        <f>Data!O14</f>
        <v>35567.582338846471</v>
      </c>
      <c r="H14" s="412">
        <f>Data!P14</f>
        <v>38847.855227882035</v>
      </c>
      <c r="I14" s="411">
        <f>Data!Q14</f>
        <v>38300.176936687436</v>
      </c>
      <c r="J14" s="413">
        <f>Data!R14</f>
        <v>45471.050977376617</v>
      </c>
    </row>
    <row r="15" spans="1:10" ht="16.5" thickBot="1" x14ac:dyDescent="0.3">
      <c r="A15" s="4"/>
      <c r="B15" s="3"/>
      <c r="C15" s="260" t="s">
        <v>14</v>
      </c>
      <c r="D15" s="261">
        <f>Data!L15</f>
        <v>52648.650892917387</v>
      </c>
      <c r="E15" s="262">
        <f>Data!M15</f>
        <v>51136.905110221276</v>
      </c>
      <c r="F15" s="262">
        <f>Data!N15</f>
        <v>41841.008169628542</v>
      </c>
      <c r="G15" s="262">
        <f>Data!O15</f>
        <v>41913.080570931546</v>
      </c>
      <c r="H15" s="263">
        <f>Data!P15</f>
        <v>44830.093833780164</v>
      </c>
      <c r="I15" s="262">
        <f>Data!Q15</f>
        <v>56025.848142164781</v>
      </c>
      <c r="J15" s="264">
        <f>Data!R15</f>
        <v>54662.907291113595</v>
      </c>
    </row>
    <row r="16" spans="1:10" ht="16.5" thickBot="1" x14ac:dyDescent="0.3">
      <c r="A16" s="4"/>
      <c r="B16" s="5"/>
      <c r="C16" s="253" t="s">
        <v>15</v>
      </c>
      <c r="D16" s="418">
        <f>Data!L16</f>
        <v>23902.471935770151</v>
      </c>
      <c r="E16" s="419">
        <f>Data!M16</f>
        <v>20266.587529154091</v>
      </c>
      <c r="F16" s="419">
        <f>Data!N16</f>
        <v>13143.481284152573</v>
      </c>
      <c r="G16" s="419">
        <f>Data!O16</f>
        <v>15063.434987053064</v>
      </c>
      <c r="H16" s="420">
        <f>Data!P16</f>
        <v>29288.87399463807</v>
      </c>
      <c r="I16" s="419">
        <f>Data!Q16</f>
        <v>30635.587352873299</v>
      </c>
      <c r="J16" s="421">
        <f>Data!R16</f>
        <v>32530.194010631221</v>
      </c>
    </row>
    <row r="17" spans="1:10" ht="17.25" thickTop="1" thickBot="1" x14ac:dyDescent="0.3">
      <c r="A17" s="4"/>
      <c r="B17" s="3"/>
      <c r="C17" s="258" t="s">
        <v>16</v>
      </c>
      <c r="D17" s="248">
        <f>Data!L17</f>
        <v>28746.178957147233</v>
      </c>
      <c r="E17" s="249">
        <f>Data!M17</f>
        <v>30870.317581067186</v>
      </c>
      <c r="F17" s="249">
        <f>Data!N17</f>
        <v>28697.526885475971</v>
      </c>
      <c r="G17" s="249">
        <f>Data!O17</f>
        <v>26849.645583878482</v>
      </c>
      <c r="H17" s="250">
        <f>Data!P17</f>
        <v>15541.219839142092</v>
      </c>
      <c r="I17" s="249">
        <f>Data!Q17</f>
        <v>25390.260789291486</v>
      </c>
      <c r="J17" s="259">
        <f>Data!R17</f>
        <v>22132.713280482374</v>
      </c>
    </row>
    <row r="18" spans="1:10" ht="15.75" x14ac:dyDescent="0.25">
      <c r="A18" s="4"/>
      <c r="B18" s="5"/>
      <c r="C18" s="238" t="s">
        <v>17</v>
      </c>
      <c r="D18" s="410">
        <f>Data!L18</f>
        <v>0</v>
      </c>
      <c r="E18" s="411">
        <f>Data!M18</f>
        <v>0</v>
      </c>
      <c r="F18" s="411">
        <f>Data!N18</f>
        <v>-1694.2533188123716</v>
      </c>
      <c r="G18" s="411">
        <f>Data!O18</f>
        <v>-5502.3644404157685</v>
      </c>
      <c r="H18" s="412">
        <f>Data!P18</f>
        <v>-6188.0026809651472</v>
      </c>
      <c r="I18" s="411">
        <f>Data!Q18</f>
        <v>-3692.2840218478345</v>
      </c>
      <c r="J18" s="413">
        <f>Data!R18</f>
        <v>-3269.6192411676034</v>
      </c>
    </row>
    <row r="19" spans="1:10" ht="15.75" x14ac:dyDescent="0.25">
      <c r="A19" s="4"/>
      <c r="B19" s="5"/>
      <c r="C19" s="238" t="s">
        <v>18</v>
      </c>
      <c r="D19" s="410">
        <f>Data!L19</f>
        <v>599.94913925982053</v>
      </c>
      <c r="E19" s="411">
        <f>Data!M19</f>
        <v>1307.8588565744046</v>
      </c>
      <c r="F19" s="411">
        <f>Data!N19</f>
        <v>2659.495089650005</v>
      </c>
      <c r="G19" s="411">
        <f>Data!O19</f>
        <v>4461.9440065851086</v>
      </c>
      <c r="H19" s="412">
        <f>Data!P19</f>
        <v>4353.2171581769435</v>
      </c>
      <c r="I19" s="411">
        <f>Data!Q19</f>
        <v>2756.827448265251</v>
      </c>
      <c r="J19" s="413">
        <f>Data!R19</f>
        <v>2139.9757105280823</v>
      </c>
    </row>
    <row r="20" spans="1:10" ht="15.75" x14ac:dyDescent="0.25">
      <c r="A20" s="4"/>
      <c r="B20" s="5"/>
      <c r="C20" s="238" t="s">
        <v>19</v>
      </c>
      <c r="D20" s="410">
        <f>Data!L20</f>
        <v>446.84793157673488</v>
      </c>
      <c r="E20" s="411">
        <f>Data!M20</f>
        <v>1202.1099621310284</v>
      </c>
      <c r="F20" s="411">
        <f>Data!N20</f>
        <v>-3426.6082864735972</v>
      </c>
      <c r="G20" s="411">
        <f>Data!O20</f>
        <v>-942.44362167620329</v>
      </c>
      <c r="H20" s="412">
        <f>Data!P20</f>
        <v>-188.67292225201072</v>
      </c>
      <c r="I20" s="411">
        <f>Data!Q20</f>
        <v>0</v>
      </c>
      <c r="J20" s="413">
        <f>Data!R20</f>
        <v>0</v>
      </c>
    </row>
    <row r="21" spans="1:10" ht="15.75" x14ac:dyDescent="0.25">
      <c r="A21" s="4"/>
      <c r="B21" s="5"/>
      <c r="C21" s="238" t="s">
        <v>20</v>
      </c>
      <c r="D21" s="410">
        <f>Data!L21</f>
        <v>5607.1371112137558</v>
      </c>
      <c r="E21" s="411">
        <f>Data!M21</f>
        <v>43.051921453232239</v>
      </c>
      <c r="F21" s="411">
        <f>Data!N21</f>
        <v>17487.704280402737</v>
      </c>
      <c r="G21" s="411">
        <f>Data!O21</f>
        <v>17585.17150940944</v>
      </c>
      <c r="H21" s="412">
        <f>Data!P21</f>
        <v>14341.152815013405</v>
      </c>
      <c r="I21" s="411">
        <f>Data!Q21</f>
        <v>14801.138549119163</v>
      </c>
      <c r="J21" s="413">
        <f>Data!R21</f>
        <v>11950.969442867867</v>
      </c>
    </row>
    <row r="22" spans="1:10" ht="15.75" x14ac:dyDescent="0.25">
      <c r="A22" s="4"/>
      <c r="B22" s="5"/>
      <c r="C22" s="238" t="s">
        <v>21</v>
      </c>
      <c r="D22" s="410">
        <f>Data!L22</f>
        <v>532.99979759501355</v>
      </c>
      <c r="E22" s="411">
        <f>Data!M22</f>
        <v>1506.8172508631283</v>
      </c>
      <c r="F22" s="411">
        <f>Data!N22</f>
        <v>1911.7502309912463</v>
      </c>
      <c r="G22" s="411">
        <f>Data!O22</f>
        <v>633.18347990975474</v>
      </c>
      <c r="H22" s="412">
        <f>Data!P22</f>
        <v>-221.51474530831098</v>
      </c>
      <c r="I22" s="411">
        <f>Data!Q22</f>
        <v>-117.54750365412724</v>
      </c>
      <c r="J22" s="413">
        <f>Data!R22</f>
        <v>692.67715141861504</v>
      </c>
    </row>
    <row r="23" spans="1:10" ht="16.5" thickBot="1" x14ac:dyDescent="0.3">
      <c r="A23" s="4"/>
      <c r="B23" s="5"/>
      <c r="C23" s="243" t="s">
        <v>22</v>
      </c>
      <c r="D23" s="414">
        <f>Data!L23</f>
        <v>-1256.4678772906796</v>
      </c>
      <c r="E23" s="415">
        <f>Data!M23</f>
        <v>-1038.2618727167853</v>
      </c>
      <c r="F23" s="415">
        <f>Data!N23</f>
        <v>-2899.2179636573774</v>
      </c>
      <c r="G23" s="415">
        <f>Data!O23</f>
        <v>-3871.083843490374</v>
      </c>
      <c r="H23" s="416">
        <f>Data!P23</f>
        <v>1944.0348525469169</v>
      </c>
      <c r="I23" s="415">
        <f>Data!Q23</f>
        <v>2706.6697438264482</v>
      </c>
      <c r="J23" s="417">
        <f>Data!R23</f>
        <v>2966.305986317338</v>
      </c>
    </row>
    <row r="24" spans="1:10" ht="17.25" thickTop="1" thickBot="1" x14ac:dyDescent="0.3">
      <c r="A24" s="4"/>
      <c r="B24" s="3"/>
      <c r="C24" s="258" t="s">
        <v>23</v>
      </c>
      <c r="D24" s="248">
        <f>Data!L24</f>
        <v>34676.645059501876</v>
      </c>
      <c r="E24" s="249">
        <f>Data!M24</f>
        <v>33891.893699372195</v>
      </c>
      <c r="F24" s="249">
        <f>Data!N24</f>
        <v>42736.396917576611</v>
      </c>
      <c r="G24" s="249">
        <f>Data!O24</f>
        <v>39214.052674200437</v>
      </c>
      <c r="H24" s="250">
        <f>Data!P24</f>
        <v>29581.434316353887</v>
      </c>
      <c r="I24" s="249">
        <f>Data!Q24</f>
        <v>41845.065005000382</v>
      </c>
      <c r="J24" s="259">
        <f>Data!R24</f>
        <v>36613.022330446671</v>
      </c>
    </row>
    <row r="25" spans="1:10" ht="16.5" thickBot="1" x14ac:dyDescent="0.3">
      <c r="A25" s="4"/>
      <c r="B25" s="5"/>
      <c r="C25" s="253" t="s">
        <v>24</v>
      </c>
      <c r="D25" s="418">
        <f>Data!L25</f>
        <v>-5534.997898102064</v>
      </c>
      <c r="E25" s="419">
        <f>Data!M25</f>
        <v>-4754.1024719326551</v>
      </c>
      <c r="F25" s="419">
        <f>Data!N25</f>
        <v>-9959.4534953500115</v>
      </c>
      <c r="G25" s="419">
        <f>Data!O25</f>
        <v>-4433.6173772207239</v>
      </c>
      <c r="H25" s="420">
        <f>Data!P25</f>
        <v>-3249.6648793565682</v>
      </c>
      <c r="I25" s="419">
        <f>Data!Q25</f>
        <v>-76.005846603584885</v>
      </c>
      <c r="J25" s="421">
        <f>Data!R25</f>
        <v>-7846.1707464435458</v>
      </c>
    </row>
    <row r="26" spans="1:10" ht="17.25" thickTop="1" thickBot="1" x14ac:dyDescent="0.3">
      <c r="A26" s="4"/>
      <c r="B26" s="3"/>
      <c r="C26" s="258" t="s">
        <v>25</v>
      </c>
      <c r="D26" s="248">
        <f>Data!L26</f>
        <v>29141.647161399815</v>
      </c>
      <c r="E26" s="249">
        <f>Data!M26</f>
        <v>29137.791227439538</v>
      </c>
      <c r="F26" s="249">
        <f>Data!N26</f>
        <v>32776.943422226599</v>
      </c>
      <c r="G26" s="249">
        <f>Data!O26</f>
        <v>34780.435296979711</v>
      </c>
      <c r="H26" s="250">
        <f>Data!P26</f>
        <v>26331.769436997318</v>
      </c>
      <c r="I26" s="249">
        <f>Data!Q26</f>
        <v>41769.059158396798</v>
      </c>
      <c r="J26" s="259">
        <f>Data!R26</f>
        <v>28766.851584003125</v>
      </c>
    </row>
    <row r="2020" spans="8957:8957" x14ac:dyDescent="0.25">
      <c r="MFM2020" s="201" t="s">
        <v>133</v>
      </c>
    </row>
  </sheetData>
  <dataValidations disablePrompts="1" count="1">
    <dataValidation type="list" allowBlank="1" showInputMessage="1" showErrorMessage="1" sqref="C11" xr:uid="{C4E7558E-14F8-4B1D-A811-917528EBA85B}">
      <formula1>$C$78:$C$79</formula1>
    </dataValidation>
  </dataValidations>
  <pageMargins left="0.70866141732283472" right="0.70866141732283472" top="0.74803149606299213" bottom="0.74803149606299213" header="0.31496062992125984" footer="0.31496062992125984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2A700"/>
    <pageSetUpPr fitToPage="1"/>
  </sheetPr>
  <dimension ref="A1:MFM2020"/>
  <sheetViews>
    <sheetView showGridLines="0" zoomScale="55" zoomScaleNormal="55" workbookViewId="0">
      <pane xSplit="3" topLeftCell="D1" activePane="topRight" state="frozen"/>
      <selection activeCell="E30" sqref="E30"/>
      <selection pane="topRight"/>
    </sheetView>
  </sheetViews>
  <sheetFormatPr baseColWidth="10" defaultColWidth="10.85546875" defaultRowHeight="15" x14ac:dyDescent="0.25"/>
  <cols>
    <col min="1" max="1" width="4.140625" customWidth="1"/>
    <col min="2" max="2" width="5.140625" customWidth="1"/>
    <col min="3" max="3" width="57.140625" bestFit="1" customWidth="1"/>
    <col min="4" max="10" width="18.5703125" customWidth="1"/>
  </cols>
  <sheetData>
    <row r="1" spans="1:10" ht="16.5" thickBot="1" x14ac:dyDescent="0.3">
      <c r="A1" s="2"/>
      <c r="B1" s="3"/>
      <c r="C1" s="2"/>
    </row>
    <row r="2" spans="1:10" ht="21" thickBot="1" x14ac:dyDescent="0.35">
      <c r="A2" s="4"/>
      <c r="B2" s="5"/>
      <c r="C2" s="318" t="s">
        <v>140</v>
      </c>
      <c r="D2" s="316"/>
      <c r="E2" s="316"/>
      <c r="F2" s="316"/>
      <c r="G2" s="316"/>
      <c r="H2" s="316"/>
      <c r="I2" s="316"/>
      <c r="J2" s="316"/>
    </row>
    <row r="3" spans="1:10" ht="19.5" thickBot="1" x14ac:dyDescent="0.35">
      <c r="A3" s="4"/>
      <c r="B3" s="5"/>
      <c r="C3" s="450" t="s">
        <v>134</v>
      </c>
      <c r="D3" s="316"/>
      <c r="E3" s="316"/>
      <c r="F3" s="316"/>
      <c r="G3" s="316"/>
      <c r="H3" s="316"/>
      <c r="I3" s="316"/>
      <c r="J3" s="316"/>
    </row>
    <row r="4" spans="1:10" ht="19.5" thickBot="1" x14ac:dyDescent="0.3">
      <c r="A4" s="4"/>
      <c r="B4" s="5"/>
      <c r="C4" s="512" t="str">
        <f>CONCATENATE(Data!K4)</f>
        <v>en USD miles a 31 de diciembre</v>
      </c>
      <c r="D4" s="226">
        <v>2013</v>
      </c>
      <c r="E4" s="227">
        <v>2014</v>
      </c>
      <c r="F4" s="227">
        <v>2015</v>
      </c>
      <c r="G4" s="227">
        <v>2016</v>
      </c>
      <c r="H4" s="228">
        <v>2017</v>
      </c>
      <c r="I4" s="227">
        <v>2018</v>
      </c>
      <c r="J4" s="229">
        <v>2019</v>
      </c>
    </row>
    <row r="5" spans="1:10" ht="15.75" x14ac:dyDescent="0.25">
      <c r="A5" s="4"/>
      <c r="B5" s="206"/>
      <c r="C5" s="221"/>
      <c r="D5" s="317"/>
      <c r="E5" s="317"/>
      <c r="F5" s="317"/>
      <c r="G5" s="317"/>
      <c r="H5" s="317"/>
      <c r="I5" s="317"/>
      <c r="J5" s="317"/>
    </row>
    <row r="6" spans="1:10" ht="19.5" thickBot="1" x14ac:dyDescent="0.35">
      <c r="A6" s="6"/>
      <c r="B6" s="207"/>
      <c r="C6" s="319" t="s">
        <v>26</v>
      </c>
      <c r="D6" s="265"/>
      <c r="E6" s="267"/>
      <c r="F6" s="267"/>
      <c r="G6" s="265"/>
      <c r="H6" s="265"/>
      <c r="I6" s="265"/>
      <c r="J6" s="265"/>
    </row>
    <row r="7" spans="1:10" ht="16.5" thickBot="1" x14ac:dyDescent="0.3">
      <c r="A7" s="4"/>
      <c r="B7" s="206"/>
      <c r="C7" s="221"/>
      <c r="D7" s="265"/>
      <c r="E7" s="265"/>
      <c r="F7" s="265"/>
      <c r="G7" s="265"/>
      <c r="H7" s="265"/>
      <c r="I7" s="265"/>
      <c r="J7" s="265"/>
    </row>
    <row r="8" spans="1:10" ht="16.5" thickBot="1" x14ac:dyDescent="0.3">
      <c r="A8" s="4"/>
      <c r="B8" s="206"/>
      <c r="C8" s="460" t="s">
        <v>27</v>
      </c>
      <c r="D8" s="268"/>
      <c r="E8" s="268"/>
      <c r="F8" s="268"/>
      <c r="G8" s="268"/>
      <c r="H8" s="268"/>
      <c r="I8" s="268"/>
      <c r="J8" s="268"/>
    </row>
    <row r="9" spans="1:10" ht="15.75" x14ac:dyDescent="0.25">
      <c r="A9" s="4"/>
      <c r="B9" s="206"/>
      <c r="C9" s="233" t="s">
        <v>28</v>
      </c>
      <c r="D9" s="406">
        <f>Data!L31</f>
        <v>3024.1380920994588</v>
      </c>
      <c r="E9" s="407">
        <f>Data!M31</f>
        <v>3914.7989935045935</v>
      </c>
      <c r="F9" s="407">
        <f>Data!N31</f>
        <v>5697.784071605699</v>
      </c>
      <c r="G9" s="407">
        <f>Data!O31</f>
        <v>6710.411869190958</v>
      </c>
      <c r="H9" s="408">
        <f>Data!P31</f>
        <v>4110.9249329758713</v>
      </c>
      <c r="I9" s="407">
        <f>Data!Q31</f>
        <v>1902.9156088929917</v>
      </c>
      <c r="J9" s="409">
        <f>Data!R31</f>
        <v>3623.2812757465354</v>
      </c>
    </row>
    <row r="10" spans="1:10" ht="15.75" x14ac:dyDescent="0.25">
      <c r="A10" s="4"/>
      <c r="B10" s="206"/>
      <c r="C10" s="238" t="s">
        <v>29</v>
      </c>
      <c r="D10" s="410">
        <f>Data!L32</f>
        <v>79791.678560122062</v>
      </c>
      <c r="E10" s="411">
        <f>Data!M32</f>
        <v>74653.285739364495</v>
      </c>
      <c r="F10" s="411">
        <f>Data!N32</f>
        <v>47430.520055755413</v>
      </c>
      <c r="G10" s="411">
        <f>Data!O32</f>
        <v>54651.732423326481</v>
      </c>
      <c r="H10" s="412">
        <f>Data!P32</f>
        <v>61132.707774798924</v>
      </c>
      <c r="I10" s="411">
        <f>Data!Q32</f>
        <v>52234.787291330103</v>
      </c>
      <c r="J10" s="413">
        <f>Data!R32</f>
        <v>60154.28086685342</v>
      </c>
    </row>
    <row r="11" spans="1:10" ht="15.75" x14ac:dyDescent="0.25">
      <c r="A11" s="4"/>
      <c r="B11" s="208"/>
      <c r="C11" s="238" t="s">
        <v>30</v>
      </c>
      <c r="D11" s="410">
        <f>Data!L33</f>
        <v>-2577.2901605227239</v>
      </c>
      <c r="E11" s="411">
        <f>Data!M33</f>
        <v>-1981.6423263084857</v>
      </c>
      <c r="F11" s="411">
        <f>Data!N33</f>
        <v>-1498.9823684619953</v>
      </c>
      <c r="G11" s="411">
        <f>Data!O33</f>
        <v>-1385.0055486868107</v>
      </c>
      <c r="H11" s="412">
        <f>Data!P33</f>
        <v>-1352.8820375335122</v>
      </c>
      <c r="I11" s="411">
        <f>Data!Q33</f>
        <v>-1247.7882914070312</v>
      </c>
      <c r="J11" s="413">
        <f>Data!R33</f>
        <v>-386.61759949224017</v>
      </c>
    </row>
    <row r="12" spans="1:10" ht="15.75" x14ac:dyDescent="0.25">
      <c r="A12" s="4"/>
      <c r="B12" s="206"/>
      <c r="C12" s="238" t="s">
        <v>31</v>
      </c>
      <c r="D12" s="410">
        <f>Data!L34</f>
        <v>21211.004603415975</v>
      </c>
      <c r="E12" s="411">
        <f>Data!M34</f>
        <v>19407.638999189119</v>
      </c>
      <c r="F12" s="411">
        <f>Data!N34</f>
        <v>17277.827697993631</v>
      </c>
      <c r="G12" s="411">
        <f>Data!O34</f>
        <v>21401.601620949707</v>
      </c>
      <c r="H12" s="412">
        <f>Data!P34</f>
        <v>19855.898123324398</v>
      </c>
      <c r="I12" s="411">
        <f>Data!Q34</f>
        <v>20835.756596661282</v>
      </c>
      <c r="J12" s="413">
        <f>Data!R34</f>
        <v>21880.359093599909</v>
      </c>
    </row>
    <row r="13" spans="1:10" ht="16.5" thickBot="1" x14ac:dyDescent="0.3">
      <c r="A13" s="4"/>
      <c r="B13" s="208"/>
      <c r="C13" s="243" t="s">
        <v>32</v>
      </c>
      <c r="D13" s="414">
        <f>Data!L35</f>
        <v>111757.65376291629</v>
      </c>
      <c r="E13" s="415">
        <f>Data!M35</f>
        <v>96771.523870827514</v>
      </c>
      <c r="F13" s="415">
        <f>Data!N35</f>
        <v>96244.129964724227</v>
      </c>
      <c r="G13" s="415">
        <f>Data!O35</f>
        <v>106868.37448470529</v>
      </c>
      <c r="H13" s="416">
        <f>Data!P35</f>
        <v>115024.12868632708</v>
      </c>
      <c r="I13" s="415">
        <f>Data!Q35</f>
        <v>106189.09146857451</v>
      </c>
      <c r="J13" s="417">
        <f>Data!R35</f>
        <v>112521.58894645942</v>
      </c>
    </row>
    <row r="14" spans="1:10" ht="17.25" thickTop="1" thickBot="1" x14ac:dyDescent="0.3">
      <c r="A14" s="4"/>
      <c r="B14" s="206"/>
      <c r="C14" s="270" t="s">
        <v>33</v>
      </c>
      <c r="D14" s="248">
        <f>Data!L36</f>
        <v>213207.18485803108</v>
      </c>
      <c r="E14" s="249">
        <f>Data!M36</f>
        <v>192765.60527657723</v>
      </c>
      <c r="F14" s="249">
        <f>Data!N36</f>
        <v>165151.27942161699</v>
      </c>
      <c r="G14" s="249">
        <f>Data!O36</f>
        <v>188247.11484948563</v>
      </c>
      <c r="H14" s="250">
        <f>Data!P36</f>
        <v>198770.77747989277</v>
      </c>
      <c r="I14" s="249">
        <f>Data!Q36</f>
        <v>179914.76267405186</v>
      </c>
      <c r="J14" s="259">
        <f>Data!R36</f>
        <v>197792.89258316703</v>
      </c>
    </row>
    <row r="15" spans="1:10" ht="15.75" x14ac:dyDescent="0.25">
      <c r="A15" s="4"/>
      <c r="B15" s="208"/>
      <c r="C15" s="271" t="s">
        <v>34</v>
      </c>
      <c r="D15" s="406">
        <f>Data!L37</f>
        <v>212883.3368797455</v>
      </c>
      <c r="E15" s="407">
        <f>Data!M37</f>
        <v>169859.89316435801</v>
      </c>
      <c r="F15" s="407">
        <f>Data!N37</f>
        <v>329176.6551197503</v>
      </c>
      <c r="G15" s="407">
        <f>Data!O37</f>
        <v>354192.50777316035</v>
      </c>
      <c r="H15" s="408">
        <f>Data!P37</f>
        <v>356395.44235924934</v>
      </c>
      <c r="I15" s="407">
        <f>Data!Q37</f>
        <v>320784.36802830989</v>
      </c>
      <c r="J15" s="409">
        <f>Data!R37</f>
        <v>326044.35574922035</v>
      </c>
    </row>
    <row r="16" spans="1:10" ht="15.75" x14ac:dyDescent="0.25">
      <c r="A16" s="4"/>
      <c r="B16" s="206"/>
      <c r="C16" s="238" t="s">
        <v>35</v>
      </c>
      <c r="D16" s="410">
        <f>Data!L38</f>
        <v>11036.261631799382</v>
      </c>
      <c r="E16" s="411">
        <f>Data!M38</f>
        <v>12167.81053810722</v>
      </c>
      <c r="F16" s="411">
        <f>Data!N38</f>
        <v>8510.3207841319345</v>
      </c>
      <c r="G16" s="411">
        <f>Data!O38</f>
        <v>11867.191431361245</v>
      </c>
      <c r="H16" s="412">
        <f>Data!P38</f>
        <v>14917.225201072386</v>
      </c>
      <c r="I16" s="411">
        <f>Data!Q38</f>
        <v>4656.9736133548731</v>
      </c>
      <c r="J16" s="413">
        <f>Data!R38</f>
        <v>10438.064898051351</v>
      </c>
    </row>
    <row r="17" spans="1:10" ht="15.75" x14ac:dyDescent="0.25">
      <c r="A17" s="4"/>
      <c r="B17" s="208"/>
      <c r="C17" s="272" t="s">
        <v>36</v>
      </c>
      <c r="D17" s="410">
        <f>Data!L39</f>
        <v>562232.26750673389</v>
      </c>
      <c r="E17" s="411">
        <f>Data!M39</f>
        <v>443450.25622162962</v>
      </c>
      <c r="F17" s="411">
        <f>Data!N39</f>
        <v>0</v>
      </c>
      <c r="G17" s="411">
        <f>Data!O39</f>
        <v>261.9380080047722</v>
      </c>
      <c r="H17" s="412">
        <f>Data!P39</f>
        <v>215.8176943699732</v>
      </c>
      <c r="I17" s="411">
        <f>Data!Q39</f>
        <v>1767.2128625278867</v>
      </c>
      <c r="J17" s="413">
        <f>Data!R39</f>
        <v>2423.7597417260172</v>
      </c>
    </row>
    <row r="18" spans="1:10" ht="15.75" x14ac:dyDescent="0.25">
      <c r="A18" s="4"/>
      <c r="B18" s="206"/>
      <c r="C18" s="238" t="s">
        <v>37</v>
      </c>
      <c r="D18" s="410">
        <f>Data!L40</f>
        <v>710.49340107845535</v>
      </c>
      <c r="E18" s="411">
        <f>Data!M40</f>
        <v>608.16063800439713</v>
      </c>
      <c r="F18" s="411">
        <f>Data!N40</f>
        <v>22094.828653709992</v>
      </c>
      <c r="G18" s="411">
        <f>Data!O40</f>
        <v>22141.7597835179</v>
      </c>
      <c r="H18" s="412">
        <f>Data!P40</f>
        <v>24331.434316353887</v>
      </c>
      <c r="I18" s="411">
        <f>Data!Q40</f>
        <v>24484.960381567813</v>
      </c>
      <c r="J18" s="413">
        <f>Data!R40</f>
        <v>26653.118267757862</v>
      </c>
    </row>
    <row r="19" spans="1:10" ht="16.5" thickBot="1" x14ac:dyDescent="0.3">
      <c r="A19" s="4"/>
      <c r="B19" s="206"/>
      <c r="C19" s="243" t="s">
        <v>38</v>
      </c>
      <c r="D19" s="414">
        <f>Data!L41</f>
        <v>1995.5055713269983</v>
      </c>
      <c r="E19" s="415">
        <f>Data!M41</f>
        <v>1340.8792623492138</v>
      </c>
      <c r="F19" s="415">
        <f>Data!N41</f>
        <v>94966.454673325992</v>
      </c>
      <c r="G19" s="415">
        <f>Data!O41</f>
        <v>110490.18398978907</v>
      </c>
      <c r="H19" s="416">
        <f>Data!P41</f>
        <v>117108.91420911528</v>
      </c>
      <c r="I19" s="415">
        <f>Data!Q41</f>
        <v>115752.59635356566</v>
      </c>
      <c r="J19" s="417">
        <f>Data!R41</f>
        <v>122414.05615872378</v>
      </c>
    </row>
    <row r="20" spans="1:10" ht="17.25" thickTop="1" thickBot="1" x14ac:dyDescent="0.3">
      <c r="A20" s="4"/>
      <c r="B20" s="206"/>
      <c r="C20" s="270" t="s">
        <v>39</v>
      </c>
      <c r="D20" s="248">
        <f>Data!L42</f>
        <v>1002065.0498487153</v>
      </c>
      <c r="E20" s="249">
        <f>Data!M42</f>
        <v>820192.60510102566</v>
      </c>
      <c r="F20" s="249">
        <f>Data!N42</f>
        <v>619899.53865253518</v>
      </c>
      <c r="G20" s="249">
        <f>Data!O42</f>
        <v>687200.695835319</v>
      </c>
      <c r="H20" s="250">
        <f>Data!P42</f>
        <v>711739.61126005359</v>
      </c>
      <c r="I20" s="249">
        <f>Data!Q42</f>
        <v>647360.87391337799</v>
      </c>
      <c r="J20" s="259">
        <f>Data!R42</f>
        <v>685766.24739864643</v>
      </c>
    </row>
    <row r="21" spans="1:10" ht="16.5" thickBot="1" x14ac:dyDescent="0.3">
      <c r="A21" s="4"/>
      <c r="B21" s="206"/>
      <c r="C21" s="273"/>
      <c r="D21" s="274"/>
      <c r="E21" s="274"/>
      <c r="F21" s="274"/>
      <c r="G21" s="274"/>
      <c r="H21" s="274"/>
      <c r="I21" s="274"/>
      <c r="J21" s="274"/>
    </row>
    <row r="22" spans="1:10" ht="16.5" thickBot="1" x14ac:dyDescent="0.3">
      <c r="A22" s="4"/>
      <c r="B22" s="206"/>
      <c r="C22" s="460" t="s">
        <v>40</v>
      </c>
      <c r="D22" s="275"/>
      <c r="E22" s="275"/>
      <c r="F22" s="275"/>
      <c r="G22" s="275"/>
      <c r="H22" s="275"/>
      <c r="I22" s="275"/>
      <c r="J22" s="275"/>
    </row>
    <row r="23" spans="1:10" ht="15.75" x14ac:dyDescent="0.25">
      <c r="A23" s="4"/>
      <c r="B23" s="206"/>
      <c r="C23" s="233" t="s">
        <v>41</v>
      </c>
      <c r="D23" s="422">
        <f>Data!L45</f>
        <v>52695.878723084032</v>
      </c>
      <c r="E23" s="423">
        <f>Data!M45</f>
        <v>57030.002591474884</v>
      </c>
      <c r="F23" s="423">
        <f>Data!N45</f>
        <v>44902.158140893553</v>
      </c>
      <c r="G23" s="423">
        <f>Data!O45</f>
        <v>39149.734562820129</v>
      </c>
      <c r="H23" s="424">
        <f>Data!P45</f>
        <v>42823.726541554963</v>
      </c>
      <c r="I23" s="423">
        <f>Data!Q45</f>
        <v>44405.569659204557</v>
      </c>
      <c r="J23" s="425">
        <f>Data!R45</f>
        <v>52901.005144729861</v>
      </c>
    </row>
    <row r="24" spans="1:10" ht="15.75" x14ac:dyDescent="0.25">
      <c r="A24" s="4"/>
      <c r="B24" s="208"/>
      <c r="C24" s="238" t="s">
        <v>42</v>
      </c>
      <c r="D24" s="426">
        <f>Data!L46</f>
        <v>47619.665460886536</v>
      </c>
      <c r="E24" s="427">
        <f>Data!M46</f>
        <v>32724.476062295711</v>
      </c>
      <c r="F24" s="427">
        <f>Data!N46</f>
        <v>39409.805459331255</v>
      </c>
      <c r="G24" s="427">
        <f>Data!O46</f>
        <v>61945.006348497518</v>
      </c>
      <c r="H24" s="428">
        <f>Data!P46</f>
        <v>69475.201072386059</v>
      </c>
      <c r="I24" s="427">
        <f>Data!Q46</f>
        <v>33792.753288714513</v>
      </c>
      <c r="J24" s="429">
        <f>Data!R46</f>
        <v>48421.489469476437</v>
      </c>
    </row>
    <row r="25" spans="1:10" ht="15.75" x14ac:dyDescent="0.25">
      <c r="A25" s="4"/>
      <c r="B25" s="206"/>
      <c r="C25" s="238" t="s">
        <v>43</v>
      </c>
      <c r="D25" s="426">
        <f>Data!L47</f>
        <v>0</v>
      </c>
      <c r="E25" s="427">
        <f>Data!M47</f>
        <v>0</v>
      </c>
      <c r="F25" s="427">
        <f>Data!N47</f>
        <v>0</v>
      </c>
      <c r="G25" s="427">
        <f>Data!O47</f>
        <v>0</v>
      </c>
      <c r="H25" s="428">
        <f>Data!P47</f>
        <v>0</v>
      </c>
      <c r="I25" s="427">
        <f>Data!Q47</f>
        <v>0</v>
      </c>
      <c r="J25" s="429">
        <f>Data!R47</f>
        <v>0</v>
      </c>
    </row>
    <row r="26" spans="1:10" ht="15.75" x14ac:dyDescent="0.25">
      <c r="A26" s="4"/>
      <c r="B26" s="208"/>
      <c r="C26" s="238" t="s">
        <v>44</v>
      </c>
      <c r="D26" s="426">
        <f>Data!L48</f>
        <v>0</v>
      </c>
      <c r="E26" s="427">
        <f>Data!M48</f>
        <v>0</v>
      </c>
      <c r="F26" s="427">
        <f>Data!N48</f>
        <v>219.71950836172437</v>
      </c>
      <c r="G26" s="427">
        <f>Data!O48</f>
        <v>254.93966427945386</v>
      </c>
      <c r="H26" s="428">
        <f>Data!P48</f>
        <v>267.42627345844505</v>
      </c>
      <c r="I26" s="427">
        <f>Data!Q48</f>
        <v>259.0968536041234</v>
      </c>
      <c r="J26" s="429">
        <f>Data!R48</f>
        <v>0</v>
      </c>
    </row>
    <row r="27" spans="1:10" ht="15.75" x14ac:dyDescent="0.25">
      <c r="A27" s="4"/>
      <c r="B27" s="206"/>
      <c r="C27" s="238" t="s">
        <v>45</v>
      </c>
      <c r="D27" s="426">
        <f>Data!L49</f>
        <v>0</v>
      </c>
      <c r="E27" s="427">
        <f>Data!M49</f>
        <v>0</v>
      </c>
      <c r="F27" s="427">
        <f>Data!N49</f>
        <v>0</v>
      </c>
      <c r="G27" s="427">
        <f>Data!O49</f>
        <v>0</v>
      </c>
      <c r="H27" s="428">
        <f>Data!P49</f>
        <v>0</v>
      </c>
      <c r="I27" s="427">
        <f>Data!Q49</f>
        <v>383.4141087775983</v>
      </c>
      <c r="J27" s="429">
        <f>Data!R49</f>
        <v>247.47188096938186</v>
      </c>
    </row>
    <row r="28" spans="1:10" ht="16.5" thickBot="1" x14ac:dyDescent="0.3">
      <c r="A28" s="4"/>
      <c r="B28" s="5"/>
      <c r="C28" s="243" t="s">
        <v>46</v>
      </c>
      <c r="D28" s="430">
        <f>Data!L50</f>
        <v>26314.724184281957</v>
      </c>
      <c r="E28" s="431">
        <f>Data!M50</f>
        <v>17118.781505228926</v>
      </c>
      <c r="F28" s="431">
        <f>Data!N50</f>
        <v>16432.923634770297</v>
      </c>
      <c r="G28" s="431">
        <f>Data!O50</f>
        <v>19922.951568128876</v>
      </c>
      <c r="H28" s="432">
        <f>Data!P50</f>
        <v>19614.276139410187</v>
      </c>
      <c r="I28" s="431">
        <f>Data!Q50</f>
        <v>17148.396030463882</v>
      </c>
      <c r="J28" s="433">
        <f>Data!R50</f>
        <v>22186.418645526282</v>
      </c>
    </row>
    <row r="29" spans="1:10" ht="17.25" thickTop="1" thickBot="1" x14ac:dyDescent="0.3">
      <c r="A29" s="4"/>
      <c r="B29" s="5"/>
      <c r="C29" s="270" t="s">
        <v>47</v>
      </c>
      <c r="D29" s="248">
        <f>Data!L51</f>
        <v>126630.26836825252</v>
      </c>
      <c r="E29" s="249">
        <f>Data!M51</f>
        <v>106873.26015899952</v>
      </c>
      <c r="F29" s="249">
        <f>Data!N51</f>
        <v>100964.60674335682</v>
      </c>
      <c r="G29" s="249">
        <f>Data!O51</f>
        <v>121272.63214372599</v>
      </c>
      <c r="H29" s="250">
        <f>Data!P51</f>
        <v>132180.63002680964</v>
      </c>
      <c r="I29" s="249">
        <f>Data!Q51</f>
        <v>95989.229940764679</v>
      </c>
      <c r="J29" s="259">
        <f>Data!R51</f>
        <v>123756.38514070195</v>
      </c>
    </row>
    <row r="30" spans="1:10" ht="15.75" x14ac:dyDescent="0.25">
      <c r="A30" s="4"/>
      <c r="B30" s="5"/>
      <c r="C30" s="233" t="s">
        <v>48</v>
      </c>
      <c r="D30" s="422">
        <f>Data!L52</f>
        <v>0</v>
      </c>
      <c r="E30" s="423">
        <f>Data!M52</f>
        <v>0</v>
      </c>
      <c r="F30" s="423">
        <f>Data!N52</f>
        <v>0</v>
      </c>
      <c r="G30" s="423">
        <f>Data!O52</f>
        <v>0</v>
      </c>
      <c r="H30" s="424">
        <f>Data!P52</f>
        <v>0</v>
      </c>
      <c r="I30" s="423">
        <f>Data!Q52</f>
        <v>0</v>
      </c>
      <c r="J30" s="425">
        <f>Data!R52</f>
        <v>0</v>
      </c>
    </row>
    <row r="31" spans="1:10" ht="16.5" thickBot="1" x14ac:dyDescent="0.3">
      <c r="A31" s="4"/>
      <c r="B31" s="5"/>
      <c r="C31" s="243" t="s">
        <v>49</v>
      </c>
      <c r="D31" s="430">
        <f>Data!L53</f>
        <v>53607.739136301592</v>
      </c>
      <c r="E31" s="431">
        <f>Data!M53</f>
        <v>44695.836085033814</v>
      </c>
      <c r="F31" s="431">
        <f>Data!N53</f>
        <v>78154.737146250016</v>
      </c>
      <c r="G31" s="431">
        <f>Data!O53</f>
        <v>80544.604443615011</v>
      </c>
      <c r="H31" s="432">
        <f>Data!P53</f>
        <v>77806.970509383376</v>
      </c>
      <c r="I31" s="431">
        <f>Data!Q53</f>
        <v>59183.937225940455</v>
      </c>
      <c r="J31" s="433">
        <f>Data!R53</f>
        <v>58924.550064995703</v>
      </c>
    </row>
    <row r="32" spans="1:10" ht="17.25" thickTop="1" thickBot="1" x14ac:dyDescent="0.3">
      <c r="A32" s="4"/>
      <c r="B32" s="5"/>
      <c r="C32" s="288" t="s">
        <v>50</v>
      </c>
      <c r="D32" s="289">
        <f>Data!L54</f>
        <v>53607.739136301592</v>
      </c>
      <c r="E32" s="290">
        <f>Data!M54</f>
        <v>44695.836085033814</v>
      </c>
      <c r="F32" s="290">
        <f>Data!N54</f>
        <v>78154.737146250016</v>
      </c>
      <c r="G32" s="290">
        <f>Data!O54</f>
        <v>80544.604443615011</v>
      </c>
      <c r="H32" s="291">
        <f>Data!P54</f>
        <v>77806.970509383376</v>
      </c>
      <c r="I32" s="290">
        <f>Data!Q54</f>
        <v>59183.937225940455</v>
      </c>
      <c r="J32" s="292">
        <f>Data!R54</f>
        <v>58924.550064995703</v>
      </c>
    </row>
    <row r="33" spans="1:10" ht="17.25" thickTop="1" thickBot="1" x14ac:dyDescent="0.3">
      <c r="A33" s="4"/>
      <c r="B33" s="5"/>
      <c r="C33" s="270" t="s">
        <v>51</v>
      </c>
      <c r="D33" s="248">
        <f>Data!L55</f>
        <v>180238.00750455412</v>
      </c>
      <c r="E33" s="249">
        <f>Data!M55</f>
        <v>151569.09624403334</v>
      </c>
      <c r="F33" s="249">
        <f>Data!N55</f>
        <v>179119.34388960683</v>
      </c>
      <c r="G33" s="249">
        <f>Data!O55</f>
        <v>201817.236587341</v>
      </c>
      <c r="H33" s="250">
        <f>Data!P55</f>
        <v>209987.60053619303</v>
      </c>
      <c r="I33" s="249">
        <f>Data!Q55</f>
        <v>155173.16716670513</v>
      </c>
      <c r="J33" s="259">
        <f>Data!R55</f>
        <v>182680.93520569766</v>
      </c>
    </row>
    <row r="34" spans="1:10" ht="16.5" thickBot="1" x14ac:dyDescent="0.3">
      <c r="A34" s="4"/>
      <c r="B34" s="5"/>
      <c r="C34" s="293"/>
      <c r="D34" s="294"/>
      <c r="E34" s="294"/>
      <c r="F34" s="294"/>
      <c r="G34" s="294"/>
      <c r="H34" s="294"/>
      <c r="I34" s="294"/>
      <c r="J34" s="294"/>
    </row>
    <row r="35" spans="1:10" ht="16.5" thickBot="1" x14ac:dyDescent="0.3">
      <c r="A35" s="4"/>
      <c r="B35" s="5"/>
      <c r="C35" s="460" t="s">
        <v>52</v>
      </c>
      <c r="D35" s="268"/>
      <c r="E35" s="268"/>
      <c r="F35" s="268"/>
      <c r="G35" s="268"/>
      <c r="H35" s="268"/>
      <c r="I35" s="268"/>
      <c r="J35" s="268"/>
    </row>
    <row r="36" spans="1:10" ht="15.75" x14ac:dyDescent="0.25">
      <c r="A36" s="4"/>
      <c r="B36" s="3"/>
      <c r="C36" s="233" t="s">
        <v>53</v>
      </c>
      <c r="D36" s="422">
        <f>Data!L58</f>
        <v>29.063280102551861</v>
      </c>
      <c r="E36" s="423">
        <f>Data!M58</f>
        <v>23.406869916320439</v>
      </c>
      <c r="F36" s="423">
        <f>Data!N58</f>
        <v>17.780769462798503</v>
      </c>
      <c r="G36" s="423">
        <f>Data!O58</f>
        <v>18.662249934182242</v>
      </c>
      <c r="H36" s="424">
        <f>Data!P58</f>
        <v>18.766756032171582</v>
      </c>
      <c r="I36" s="423">
        <f>Data!Q58</f>
        <v>17.232094776521272</v>
      </c>
      <c r="J36" s="425">
        <f>Data!R58</f>
        <v>17.088070695789622</v>
      </c>
    </row>
    <row r="37" spans="1:10" ht="15.75" x14ac:dyDescent="0.25">
      <c r="A37" s="4"/>
      <c r="B37" s="5"/>
      <c r="C37" s="238" t="s">
        <v>54</v>
      </c>
      <c r="D37" s="426">
        <f>Data!L59</f>
        <v>26140.863490811334</v>
      </c>
      <c r="E37" s="427">
        <f>Data!M59</f>
        <v>21053.225550270432</v>
      </c>
      <c r="F37" s="427">
        <f>Data!N59</f>
        <v>15992.849590566033</v>
      </c>
      <c r="G37" s="427">
        <f>Data!O59</f>
        <v>16785.694052407598</v>
      </c>
      <c r="H37" s="428">
        <f>Data!P59</f>
        <v>16879.691689008043</v>
      </c>
      <c r="I37" s="427">
        <f>Data!Q59</f>
        <v>15499.346103546426</v>
      </c>
      <c r="J37" s="429">
        <f>Data!R59</f>
        <v>15369.804158504063</v>
      </c>
    </row>
    <row r="38" spans="1:10" ht="15.75" x14ac:dyDescent="0.25">
      <c r="A38" s="4"/>
      <c r="B38" s="5"/>
      <c r="C38" s="238" t="s">
        <v>55</v>
      </c>
      <c r="D38" s="426">
        <f>Data!L60</f>
        <v>617703.68947961158</v>
      </c>
      <c r="E38" s="427">
        <f>Data!M60</f>
        <v>488330.00342743454</v>
      </c>
      <c r="F38" s="427">
        <f>Data!N60</f>
        <v>27912.632919189578</v>
      </c>
      <c r="G38" s="427">
        <f>Data!O60</f>
        <v>30061.552099336492</v>
      </c>
      <c r="H38" s="428">
        <f>Data!P60</f>
        <v>33148.793565683649</v>
      </c>
      <c r="I38" s="427">
        <f>Data!Q60</f>
        <v>25029.925378875298</v>
      </c>
      <c r="J38" s="429">
        <f>Data!R60</f>
        <v>25266.848532561929</v>
      </c>
    </row>
    <row r="39" spans="1:10" ht="15.75" x14ac:dyDescent="0.25">
      <c r="A39" s="4"/>
      <c r="B39" s="5"/>
      <c r="C39" s="238" t="s">
        <v>56</v>
      </c>
      <c r="D39" s="426">
        <f>Data!L61</f>
        <v>148811.77893223584</v>
      </c>
      <c r="E39" s="427">
        <f>Data!M61</f>
        <v>130079.08178193157</v>
      </c>
      <c r="F39" s="427">
        <f>Data!N61</f>
        <v>364079.98806148337</v>
      </c>
      <c r="G39" s="427">
        <f>Data!O61</f>
        <v>403737.11554932001</v>
      </c>
      <c r="H39" s="428">
        <f>Data!P61</f>
        <v>425372.98927613941</v>
      </c>
      <c r="I39" s="427">
        <f>Data!Q61</f>
        <v>409872.14401107776</v>
      </c>
      <c r="J39" s="429">
        <f>Data!R61</f>
        <v>433664.71984718385</v>
      </c>
    </row>
    <row r="40" spans="1:10" ht="16.5" thickBot="1" x14ac:dyDescent="0.3">
      <c r="A40" s="4"/>
      <c r="B40" s="5"/>
      <c r="C40" s="243" t="s">
        <v>25</v>
      </c>
      <c r="D40" s="430">
        <f>Data!L62</f>
        <v>29141.647161399815</v>
      </c>
      <c r="E40" s="431">
        <f>Data!M62</f>
        <v>29137.791227439538</v>
      </c>
      <c r="F40" s="431">
        <f>Data!N62</f>
        <v>32776.943422226599</v>
      </c>
      <c r="G40" s="431">
        <f>Data!O62</f>
        <v>34780.435296979711</v>
      </c>
      <c r="H40" s="432">
        <f>Data!P62</f>
        <v>26331.769436997318</v>
      </c>
      <c r="I40" s="431">
        <f>Data!Q62</f>
        <v>41769.059158396798</v>
      </c>
      <c r="J40" s="433">
        <f>Data!R62</f>
        <v>28766.851584003125</v>
      </c>
    </row>
    <row r="41" spans="1:10" ht="17.25" thickTop="1" thickBot="1" x14ac:dyDescent="0.3">
      <c r="A41" s="4"/>
      <c r="B41" s="5"/>
      <c r="C41" s="270" t="s">
        <v>57</v>
      </c>
      <c r="D41" s="248">
        <f>Data!L63</f>
        <v>821827.04234416119</v>
      </c>
      <c r="E41" s="249">
        <f>Data!M63</f>
        <v>668623.50885699235</v>
      </c>
      <c r="F41" s="249">
        <f>Data!N63</f>
        <v>440780.19476292841</v>
      </c>
      <c r="G41" s="249">
        <f>Data!O63</f>
        <v>485383.459247978</v>
      </c>
      <c r="H41" s="250">
        <f>Data!P63</f>
        <v>501752.01072386059</v>
      </c>
      <c r="I41" s="249">
        <f>Data!Q63</f>
        <v>492187.7067466728</v>
      </c>
      <c r="J41" s="259">
        <f>Data!R63</f>
        <v>503085.31219294877</v>
      </c>
    </row>
    <row r="42" spans="1:10" ht="16.5" thickBot="1" x14ac:dyDescent="0.3">
      <c r="A42" s="4"/>
      <c r="B42" s="3"/>
      <c r="C42" s="293"/>
      <c r="D42" s="295"/>
      <c r="E42" s="295"/>
      <c r="F42" s="295"/>
      <c r="G42" s="295"/>
      <c r="H42" s="295"/>
      <c r="I42" s="295"/>
      <c r="J42" s="295"/>
    </row>
    <row r="43" spans="1:10" ht="16.5" thickBot="1" x14ac:dyDescent="0.3">
      <c r="A43" s="4"/>
      <c r="B43" s="5"/>
      <c r="C43" s="296" t="s">
        <v>58</v>
      </c>
      <c r="D43" s="297">
        <f>Data!L65</f>
        <v>1002065.0498487153</v>
      </c>
      <c r="E43" s="298">
        <f>Data!M65</f>
        <v>820192.60510102566</v>
      </c>
      <c r="F43" s="298">
        <f>Data!N65</f>
        <v>619899.53865253518</v>
      </c>
      <c r="G43" s="298">
        <f>Data!O65</f>
        <v>687200.695835319</v>
      </c>
      <c r="H43" s="299">
        <f>Data!P65</f>
        <v>711739.61126005359</v>
      </c>
      <c r="I43" s="298">
        <f>Data!Q65</f>
        <v>647360.87391337799</v>
      </c>
      <c r="J43" s="300">
        <f>Data!R65</f>
        <v>685766.24739864643</v>
      </c>
    </row>
    <row r="44" spans="1:10" ht="15.75" x14ac:dyDescent="0.25">
      <c r="A44" s="4"/>
      <c r="B44" s="5"/>
      <c r="D44" s="4"/>
      <c r="E44" s="4"/>
      <c r="F44" s="4"/>
      <c r="G44" s="4"/>
      <c r="H44" s="4"/>
      <c r="I44" s="4"/>
      <c r="J44" s="4"/>
    </row>
    <row r="45" spans="1:10" ht="15.75" x14ac:dyDescent="0.25">
      <c r="A45" s="4"/>
      <c r="B45" s="5"/>
    </row>
    <row r="46" spans="1:10" ht="15.75" x14ac:dyDescent="0.25">
      <c r="A46" s="4"/>
      <c r="B46" s="5"/>
    </row>
    <row r="47" spans="1:10" ht="15.75" x14ac:dyDescent="0.25">
      <c r="A47" s="4"/>
      <c r="B47" s="5"/>
    </row>
    <row r="48" spans="1:10" ht="15.75" x14ac:dyDescent="0.25">
      <c r="A48" s="4"/>
      <c r="B48" s="5"/>
    </row>
    <row r="49" spans="1:2" ht="15.75" x14ac:dyDescent="0.25">
      <c r="A49" s="4"/>
      <c r="B49" s="5"/>
    </row>
    <row r="50" spans="1:2" ht="15.75" x14ac:dyDescent="0.25">
      <c r="A50" s="4"/>
      <c r="B50" s="5"/>
    </row>
    <row r="51" spans="1:2" ht="15.75" x14ac:dyDescent="0.25">
      <c r="A51" s="4"/>
      <c r="B51" s="3"/>
    </row>
    <row r="52" spans="1:2" ht="15.75" x14ac:dyDescent="0.25">
      <c r="A52" s="4"/>
      <c r="B52" s="5"/>
    </row>
    <row r="53" spans="1:2" ht="15.75" x14ac:dyDescent="0.25">
      <c r="A53" s="4"/>
      <c r="B53" s="5"/>
    </row>
    <row r="54" spans="1:2" ht="15.75" x14ac:dyDescent="0.25">
      <c r="A54" s="4"/>
      <c r="B54" s="3"/>
    </row>
    <row r="55" spans="1:2" ht="15.75" x14ac:dyDescent="0.25">
      <c r="A55" s="4"/>
      <c r="B55" s="3"/>
    </row>
    <row r="56" spans="1:2" ht="15.75" x14ac:dyDescent="0.25">
      <c r="A56" s="4"/>
      <c r="B56" s="5"/>
    </row>
    <row r="57" spans="1:2" ht="15.75" x14ac:dyDescent="0.25">
      <c r="A57" s="4"/>
      <c r="B57" s="5"/>
    </row>
    <row r="58" spans="1:2" ht="15.75" x14ac:dyDescent="0.25">
      <c r="A58" s="4"/>
      <c r="B58" s="5"/>
    </row>
    <row r="59" spans="1:2" ht="15.75" x14ac:dyDescent="0.25">
      <c r="A59" s="4"/>
      <c r="B59" s="5"/>
    </row>
    <row r="60" spans="1:2" ht="15.75" x14ac:dyDescent="0.25">
      <c r="A60" s="4"/>
      <c r="B60" s="5"/>
    </row>
    <row r="61" spans="1:2" ht="15.75" x14ac:dyDescent="0.25">
      <c r="A61" s="4"/>
      <c r="B61" s="5"/>
    </row>
    <row r="62" spans="1:2" ht="15.75" x14ac:dyDescent="0.25">
      <c r="A62" s="4"/>
      <c r="B62" s="5"/>
    </row>
    <row r="63" spans="1:2" ht="15.75" x14ac:dyDescent="0.25">
      <c r="A63" s="4"/>
      <c r="B63" s="3"/>
    </row>
    <row r="64" spans="1:2" ht="15.75" x14ac:dyDescent="0.25">
      <c r="A64" s="4"/>
      <c r="B64" s="5"/>
    </row>
    <row r="65" spans="1:3" ht="15.75" x14ac:dyDescent="0.25">
      <c r="A65" s="4"/>
      <c r="B65" s="3"/>
    </row>
    <row r="66" spans="1:3" ht="15.75" x14ac:dyDescent="0.25">
      <c r="A66" s="4"/>
      <c r="B66" s="5"/>
      <c r="C66" s="4"/>
    </row>
    <row r="67" spans="1:3" ht="15.75" x14ac:dyDescent="0.25">
      <c r="A67" s="4"/>
      <c r="B67" s="5"/>
      <c r="C67" s="205"/>
    </row>
    <row r="68" spans="1:3" ht="15.75" x14ac:dyDescent="0.25">
      <c r="A68" s="4"/>
      <c r="B68" s="5"/>
      <c r="C68" s="204"/>
    </row>
    <row r="69" spans="1:3" ht="15.75" x14ac:dyDescent="0.25">
      <c r="A69" s="4"/>
      <c r="B69" s="5"/>
      <c r="C69" s="204"/>
    </row>
    <row r="70" spans="1:3" ht="15.75" x14ac:dyDescent="0.25">
      <c r="A70" s="4"/>
      <c r="B70" s="5"/>
      <c r="C70" s="204"/>
    </row>
    <row r="2020" spans="8957:8957" x14ac:dyDescent="0.25">
      <c r="MFM2020" s="201" t="s">
        <v>133</v>
      </c>
    </row>
  </sheetData>
  <pageMargins left="0.70866141732283472" right="0.70866141732283472" top="0.74803149606299213" bottom="0.74803149606299213" header="0.31496062992125984" footer="0.31496062992125984"/>
  <pageSetup scale="4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ED7C2F"/>
    <pageSetUpPr fitToPage="1"/>
  </sheetPr>
  <dimension ref="A1:MFM2020"/>
  <sheetViews>
    <sheetView showGridLines="0" zoomScale="55" zoomScaleNormal="55" workbookViewId="0">
      <pane xSplit="3" topLeftCell="D1" activePane="topRight" state="frozen"/>
      <selection pane="topRight"/>
    </sheetView>
  </sheetViews>
  <sheetFormatPr baseColWidth="10" defaultColWidth="10.85546875" defaultRowHeight="15" outlineLevelCol="1" x14ac:dyDescent="0.25"/>
  <cols>
    <col min="1" max="1" width="4.140625" customWidth="1"/>
    <col min="2" max="2" width="5.140625" customWidth="1"/>
    <col min="3" max="3" width="79.5703125" bestFit="1" customWidth="1"/>
    <col min="4" max="4" width="18.85546875" customWidth="1"/>
    <col min="5" max="6" width="18.85546875" hidden="1" customWidth="1" outlineLevel="1"/>
    <col min="7" max="7" width="20.5703125" customWidth="1" collapsed="1"/>
    <col min="8" max="9" width="18.85546875" hidden="1" customWidth="1" outlineLevel="1"/>
    <col min="10" max="10" width="21.140625" customWidth="1" collapsed="1"/>
    <col min="11" max="12" width="18.85546875" hidden="1" customWidth="1" outlineLevel="1"/>
    <col min="13" max="13" width="20.5703125" customWidth="1" collapsed="1"/>
    <col min="14" max="15" width="18.85546875" hidden="1" customWidth="1" outlineLevel="1"/>
    <col min="16" max="16" width="18.85546875" customWidth="1" collapsed="1"/>
    <col min="17" max="17" width="18.7109375" hidden="1" customWidth="1" outlineLevel="1"/>
    <col min="18" max="18" width="18.85546875" hidden="1" customWidth="1" outlineLevel="1"/>
    <col min="19" max="19" width="18.85546875" customWidth="1" collapsed="1"/>
    <col min="20" max="21" width="18.85546875" hidden="1" customWidth="1" outlineLevel="1"/>
    <col min="22" max="22" width="21.7109375" customWidth="1" collapsed="1"/>
  </cols>
  <sheetData>
    <row r="1" spans="1:23" ht="16.5" thickBot="1" x14ac:dyDescent="0.3">
      <c r="A1" s="2"/>
      <c r="B1" s="3"/>
      <c r="C1" s="2"/>
    </row>
    <row r="2" spans="1:23" ht="21" thickBot="1" x14ac:dyDescent="0.35">
      <c r="A2" s="4"/>
      <c r="B2" s="5"/>
      <c r="C2" s="320" t="s">
        <v>141</v>
      </c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6"/>
      <c r="T2" s="316"/>
      <c r="U2" s="316"/>
      <c r="V2" s="316"/>
    </row>
    <row r="3" spans="1:23" ht="19.5" thickBot="1" x14ac:dyDescent="0.35">
      <c r="A3" s="4"/>
      <c r="B3" s="5"/>
      <c r="C3" s="450" t="s">
        <v>134</v>
      </c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</row>
    <row r="4" spans="1:23" ht="19.5" thickBot="1" x14ac:dyDescent="0.35">
      <c r="A4" s="4"/>
      <c r="B4" s="5"/>
      <c r="C4" s="513" t="str">
        <f>CONCATENATE(Data!K4)</f>
        <v>en USD miles a 31 de diciembre</v>
      </c>
      <c r="D4" s="321">
        <v>2013</v>
      </c>
      <c r="E4" s="524">
        <v>2014</v>
      </c>
      <c r="F4" s="525"/>
      <c r="G4" s="526"/>
      <c r="H4" s="521">
        <v>2015</v>
      </c>
      <c r="I4" s="522"/>
      <c r="J4" s="523"/>
      <c r="K4" s="521">
        <v>2016</v>
      </c>
      <c r="L4" s="522"/>
      <c r="M4" s="523"/>
      <c r="N4" s="521">
        <v>2017</v>
      </c>
      <c r="O4" s="522"/>
      <c r="P4" s="523"/>
      <c r="Q4" s="521">
        <v>2018</v>
      </c>
      <c r="R4" s="522"/>
      <c r="S4" s="523"/>
      <c r="T4" s="521">
        <v>2019</v>
      </c>
      <c r="U4" s="522"/>
      <c r="V4" s="523"/>
    </row>
    <row r="5" spans="1:23" ht="16.5" thickBot="1" x14ac:dyDescent="0.3">
      <c r="A5" s="4"/>
      <c r="B5" s="5"/>
      <c r="C5" s="221"/>
      <c r="D5" s="451" t="s">
        <v>135</v>
      </c>
      <c r="E5" s="452" t="s">
        <v>135</v>
      </c>
      <c r="F5" s="453" t="s">
        <v>136</v>
      </c>
      <c r="G5" s="454" t="s">
        <v>137</v>
      </c>
      <c r="H5" s="452" t="s">
        <v>135</v>
      </c>
      <c r="I5" s="453" t="s">
        <v>136</v>
      </c>
      <c r="J5" s="454" t="s">
        <v>137</v>
      </c>
      <c r="K5" s="452" t="s">
        <v>135</v>
      </c>
      <c r="L5" s="453" t="s">
        <v>136</v>
      </c>
      <c r="M5" s="454" t="s">
        <v>137</v>
      </c>
      <c r="N5" s="452" t="s">
        <v>135</v>
      </c>
      <c r="O5" s="453" t="s">
        <v>136</v>
      </c>
      <c r="P5" s="454" t="s">
        <v>137</v>
      </c>
      <c r="Q5" s="452" t="s">
        <v>135</v>
      </c>
      <c r="R5" s="453" t="s">
        <v>136</v>
      </c>
      <c r="S5" s="454" t="s">
        <v>137</v>
      </c>
      <c r="T5" s="452" t="s">
        <v>135</v>
      </c>
      <c r="U5" s="453" t="s">
        <v>136</v>
      </c>
      <c r="V5" s="454" t="s">
        <v>137</v>
      </c>
    </row>
    <row r="6" spans="1:23" ht="16.5" customHeight="1" thickBot="1" x14ac:dyDescent="0.3">
      <c r="A6" s="6"/>
      <c r="B6" s="6"/>
      <c r="C6" s="350" t="s">
        <v>6</v>
      </c>
      <c r="D6" s="367"/>
      <c r="E6" s="322"/>
      <c r="F6" s="322"/>
      <c r="G6" s="322"/>
      <c r="H6" s="369"/>
      <c r="I6" s="322"/>
      <c r="J6" s="322"/>
      <c r="K6" s="369"/>
      <c r="L6" s="322"/>
      <c r="M6" s="322"/>
      <c r="N6" s="369"/>
      <c r="O6" s="322"/>
      <c r="P6" s="322"/>
      <c r="Q6" s="369"/>
      <c r="R6" s="322"/>
      <c r="S6" s="322"/>
      <c r="T6" s="369"/>
      <c r="U6" s="322"/>
      <c r="V6" s="369"/>
      <c r="W6" s="209"/>
    </row>
    <row r="7" spans="1:23" ht="16.5" customHeight="1" thickBot="1" x14ac:dyDescent="0.3">
      <c r="A7" s="4"/>
      <c r="B7" s="5"/>
      <c r="C7" s="221"/>
      <c r="D7" s="368"/>
      <c r="E7" s="323"/>
      <c r="F7" s="323"/>
      <c r="G7" s="323"/>
      <c r="H7" s="370"/>
      <c r="I7" s="323"/>
      <c r="J7" s="514"/>
      <c r="K7" s="323"/>
      <c r="L7" s="323"/>
      <c r="M7" s="323"/>
      <c r="N7" s="370"/>
      <c r="O7" s="323"/>
      <c r="P7" s="323"/>
      <c r="Q7" s="370"/>
      <c r="R7" s="323"/>
      <c r="S7" s="323"/>
      <c r="T7" s="370"/>
      <c r="U7" s="323"/>
      <c r="V7" s="323"/>
      <c r="W7" s="209"/>
    </row>
    <row r="8" spans="1:23" ht="16.5" customHeight="1" x14ac:dyDescent="0.25">
      <c r="A8" s="4"/>
      <c r="B8" s="5"/>
      <c r="C8" s="233" t="s">
        <v>7</v>
      </c>
      <c r="D8" s="324">
        <f>IFERROR(Data!L8/Data!$L$11,0)</f>
        <v>1</v>
      </c>
      <c r="E8" s="325">
        <f>IFERROR(Data!M8/Data!$M$11,0)</f>
        <v>1</v>
      </c>
      <c r="F8" s="326">
        <f>IFERROR((Data!M8-Data!L8)/Data!L8,0)</f>
        <v>-0.14816497742236157</v>
      </c>
      <c r="G8" s="237">
        <f>IFERROR(Data!M8-Data!L8,0)</f>
        <v>-57927.005821393686</v>
      </c>
      <c r="H8" s="327">
        <f>IFERROR(Data!N8/Data!$N$11,0)</f>
        <v>0.98289548267949045</v>
      </c>
      <c r="I8" s="326">
        <f>IFERROR((Data!N8-Data!M8)/Data!M8,0)</f>
        <v>-0.18002089594677154</v>
      </c>
      <c r="J8" s="237">
        <f>IFERROR(Data!N8-Data!M8,0)</f>
        <v>-59953.415884900431</v>
      </c>
      <c r="K8" s="327">
        <f>IFERROR(Data!O8/Data!$O$11,0)</f>
        <v>0.97505254233434158</v>
      </c>
      <c r="L8" s="326">
        <f>IFERROR((Data!O8-Data!N8)/Data!N8,0)</f>
        <v>9.8920753176762855E-2</v>
      </c>
      <c r="M8" s="237">
        <f>IFERROR(Data!O8-Data!N8,0)</f>
        <v>27013.522142129485</v>
      </c>
      <c r="N8" s="327">
        <f>IFERROR(Data!P8/Data!$P$11,0)</f>
        <v>1.0014368283986763</v>
      </c>
      <c r="O8" s="326">
        <f>IFERROR((Data!P8-Data!O8)/Data!O8,0)</f>
        <v>0.13323776249883382</v>
      </c>
      <c r="P8" s="237">
        <f>IFERROR(Data!P8-Data!O8,0)</f>
        <v>39984.11654840433</v>
      </c>
      <c r="Q8" s="327">
        <f>IFERROR(Data!Q8/Data!$Q$11,0)</f>
        <v>0.97308574291968009</v>
      </c>
      <c r="R8" s="326">
        <f>IFERROR((Data!Q8-Data!P8)/Data!P8,0)</f>
        <v>-2.1286473971124337E-2</v>
      </c>
      <c r="S8" s="237">
        <f>IFERROR(Data!Q8-Data!P8,0)</f>
        <v>-7239.1060654902831</v>
      </c>
      <c r="T8" s="327">
        <f>IFERROR(Data!R8/Data!$R$11,0)</f>
        <v>0.97853396004545956</v>
      </c>
      <c r="U8" s="326">
        <f>IFERROR((Data!R8-Data!Q8)/Data!Q8,0)</f>
        <v>9.2482198517925121E-2</v>
      </c>
      <c r="V8" s="237">
        <f>IFERROR(Data!R8-Data!Q8,0)</f>
        <v>30781.866305689269</v>
      </c>
    </row>
    <row r="9" spans="1:23" ht="16.5" customHeight="1" x14ac:dyDescent="0.25">
      <c r="A9" s="4"/>
      <c r="B9" s="5"/>
      <c r="C9" s="238" t="s">
        <v>8</v>
      </c>
      <c r="D9" s="328">
        <f>IFERROR(Data!L9/Data!$L$11,0)</f>
        <v>0</v>
      </c>
      <c r="E9" s="329">
        <f>IFERROR(Data!M9/Data!$M$11,0)</f>
        <v>0</v>
      </c>
      <c r="F9" s="330">
        <f>IFERROR((Data!M9-Data!L9)/Data!L9,0)</f>
        <v>0</v>
      </c>
      <c r="G9" s="242">
        <f>IFERROR(Data!M9-Data!L9,0)</f>
        <v>0</v>
      </c>
      <c r="H9" s="331">
        <f>IFERROR(Data!N9/Data!$N$11,0)</f>
        <v>-4.6021174082776402E-3</v>
      </c>
      <c r="I9" s="330">
        <f>IFERROR((Data!N9-Data!M9)/Data!M9,0)</f>
        <v>0</v>
      </c>
      <c r="J9" s="242">
        <f>IFERROR(Data!N9-Data!M9,0)</f>
        <v>-1278.6278326194567</v>
      </c>
      <c r="K9" s="331">
        <f>IFERROR(Data!O9/Data!$O$11,0)</f>
        <v>-2.3691422470686198E-3</v>
      </c>
      <c r="L9" s="330">
        <f>IFERROR((Data!O9-Data!N9)/Data!N9,0)</f>
        <v>-0.42973182134495203</v>
      </c>
      <c r="M9" s="242">
        <f>IFERROR(Data!O9-Data!N9,0)</f>
        <v>549.46706733390761</v>
      </c>
      <c r="N9" s="331">
        <f>IFERROR(Data!P9/Data!$P$11,0)</f>
        <v>-1.6288660404226406E-2</v>
      </c>
      <c r="O9" s="330">
        <f>IFERROR((Data!P9-Data!O9)/Data!O9,0)</f>
        <v>6.5861203781533195</v>
      </c>
      <c r="P9" s="242">
        <f>IFERROR(Data!P9-Data!O9,0)</f>
        <v>-4802.3405751970249</v>
      </c>
      <c r="Q9" s="331">
        <f>IFERROR(Data!Q9/Data!$Q$11,0)</f>
        <v>-1.4835812865981087E-2</v>
      </c>
      <c r="R9" s="330">
        <f>IFERROR((Data!Q9-Data!P9)/Data!P9,0)</f>
        <v>-8.2609967285183175E-2</v>
      </c>
      <c r="S9" s="242">
        <f>IFERROR(Data!Q9-Data!P9,0)</f>
        <v>456.95714477521233</v>
      </c>
      <c r="T9" s="331">
        <f>IFERROR(Data!R9/Data!$R$11,0)</f>
        <v>-1.9867234255007457E-2</v>
      </c>
      <c r="U9" s="330">
        <f>IFERROR((Data!R9-Data!Q9)/Data!Q9,0)</f>
        <v>0.45484136980526452</v>
      </c>
      <c r="V9" s="242">
        <f>IFERROR(Data!R9-Data!Q9,0)</f>
        <v>-2308.1126331128908</v>
      </c>
    </row>
    <row r="10" spans="1:23" ht="16.5" customHeight="1" thickBot="1" x14ac:dyDescent="0.3">
      <c r="A10" s="4"/>
      <c r="B10" s="5"/>
      <c r="C10" s="243" t="s">
        <v>9</v>
      </c>
      <c r="D10" s="328">
        <f>IFERROR(Data!L10/Data!$L$11,0)</f>
        <v>0</v>
      </c>
      <c r="E10" s="332">
        <f>IFERROR(Data!M10/Data!$M$11,0)</f>
        <v>0</v>
      </c>
      <c r="F10" s="333">
        <f>IFERROR((Data!M10-Data!L10)/Data!L10,0)</f>
        <v>0</v>
      </c>
      <c r="G10" s="247">
        <f>IFERROR(Data!M10-Data!L10,0)</f>
        <v>0</v>
      </c>
      <c r="H10" s="334">
        <f>IFERROR(Data!N10/Data!$N$11,0)</f>
        <v>2.1706634728787057E-2</v>
      </c>
      <c r="I10" s="333">
        <f>IFERROR((Data!N10-Data!M10)/Data!M10,0)</f>
        <v>0</v>
      </c>
      <c r="J10" s="247">
        <f>IFERROR(Data!N10-Data!M10,0)</f>
        <v>6030.8559852927638</v>
      </c>
      <c r="K10" s="334">
        <f>IFERROR(Data!O10/Data!$O$11,0)</f>
        <v>2.731659991272721E-2</v>
      </c>
      <c r="L10" s="333">
        <f>IFERROR((Data!O10-Data!N10)/Data!N10,0)</f>
        <v>0.39405477694240976</v>
      </c>
      <c r="M10" s="247">
        <f>IFERROR(Data!O10-Data!N10,0)</f>
        <v>2376.487610056337</v>
      </c>
      <c r="N10" s="334">
        <f>IFERROR(Data!P10/Data!$P$11,0)</f>
        <v>1.4851832005549948E-2</v>
      </c>
      <c r="O10" s="333">
        <f>IFERROR((Data!P10-Data!O10)/Data!O10,0)</f>
        <v>-0.4000999689799537</v>
      </c>
      <c r="P10" s="247">
        <f>IFERROR(Data!P10-Data!O10,0)</f>
        <v>-3363.7779117029877</v>
      </c>
      <c r="Q10" s="334">
        <f>IFERROR(Data!Q10/Data!$Q$11,0)</f>
        <v>4.1750069946301031E-2</v>
      </c>
      <c r="R10" s="333">
        <f>IFERROR((Data!Q10-Data!P10)/Data!P10,0)</f>
        <v>1.8314260207595827</v>
      </c>
      <c r="S10" s="247">
        <f>IFERROR(Data!Q10-Data!P10,0)</f>
        <v>9236.9174304395856</v>
      </c>
      <c r="T10" s="334">
        <f>IFERROR(Data!R10/Data!$R$11,0)</f>
        <v>4.1333274209547834E-2</v>
      </c>
      <c r="U10" s="333">
        <f>IFERROR((Data!R10-Data!Q10)/Data!Q10,0)</f>
        <v>7.5553896582730623E-2</v>
      </c>
      <c r="V10" s="247">
        <f>IFERROR(Data!R10-Data!Q10,0)</f>
        <v>1078.9461443530618</v>
      </c>
    </row>
    <row r="11" spans="1:23" ht="17.25" customHeight="1" thickTop="1" thickBot="1" x14ac:dyDescent="0.3">
      <c r="A11" s="4"/>
      <c r="B11" s="3"/>
      <c r="C11" s="445" t="s">
        <v>10</v>
      </c>
      <c r="D11" s="371">
        <f>IFERROR(Data!L11/Data!$L$11,0)</f>
        <v>1</v>
      </c>
      <c r="E11" s="336">
        <f>IFERROR(Data!M11/Data!$M$11,0)</f>
        <v>1</v>
      </c>
      <c r="F11" s="337">
        <f>IFERROR((Data!M11-Data!L11)/Data!L11,0)</f>
        <v>-0.14816497742236157</v>
      </c>
      <c r="G11" s="259">
        <f>IFERROR(Data!M11-Data!L11,0)</f>
        <v>-57927.005821393686</v>
      </c>
      <c r="H11" s="338">
        <f>IFERROR(Data!N11/Data!$N$11,0)</f>
        <v>1</v>
      </c>
      <c r="I11" s="337">
        <f>IFERROR((Data!N11-Data!M11)/Data!M11,0)</f>
        <v>-0.16575147764656775</v>
      </c>
      <c r="J11" s="259">
        <f>IFERROR(Data!N11-Data!M11,0)</f>
        <v>-55201.187732227088</v>
      </c>
      <c r="K11" s="338">
        <f>IFERROR(Data!O11/Data!$O$11,0)</f>
        <v>1</v>
      </c>
      <c r="L11" s="337">
        <f>IFERROR((Data!O11-Data!N11)/Data!N11,0)</f>
        <v>0.1077600408428178</v>
      </c>
      <c r="M11" s="259">
        <f>IFERROR(Data!O11-Data!N11,0)</f>
        <v>29939.476819519652</v>
      </c>
      <c r="N11" s="338">
        <f>IFERROR(Data!P11/Data!$P$11,0)</f>
        <v>1</v>
      </c>
      <c r="O11" s="337">
        <f>IFERROR((Data!P11-Data!O11)/Data!O11,0)</f>
        <v>0.10338099224954479</v>
      </c>
      <c r="P11" s="259">
        <f>IFERROR(Data!P11-Data!O11,0)</f>
        <v>31817.99806150439</v>
      </c>
      <c r="Q11" s="338">
        <f>IFERROR(Data!Q11/Data!$Q$11,0)</f>
        <v>1</v>
      </c>
      <c r="R11" s="337">
        <f>IFERROR((Data!Q11-Data!P11)/Data!P11,0)</f>
        <v>7.2285783125928867E-3</v>
      </c>
      <c r="S11" s="259">
        <f>IFERROR(Data!Q11-Data!P11,0)</f>
        <v>2454.7685097244685</v>
      </c>
      <c r="T11" s="338">
        <f>IFERROR(Data!R11/Data!$R$11,0)</f>
        <v>1</v>
      </c>
      <c r="U11" s="337">
        <f>IFERROR((Data!R11-Data!Q11)/Data!Q11,0)</f>
        <v>8.6399547872567775E-2</v>
      </c>
      <c r="V11" s="259">
        <f>IFERROR(Data!R11-Data!Q11,0)</f>
        <v>29552.699816929467</v>
      </c>
    </row>
    <row r="12" spans="1:23" ht="16.5" customHeight="1" thickBot="1" x14ac:dyDescent="0.3">
      <c r="A12" s="4"/>
      <c r="B12" s="5"/>
      <c r="C12" s="253" t="s">
        <v>11</v>
      </c>
      <c r="D12" s="339">
        <f>IFERROR(Data!L12/Data!$L$11,0)</f>
        <v>0.73718570751567392</v>
      </c>
      <c r="E12" s="340">
        <f>IFERROR(Data!M12/Data!$M$11,0)</f>
        <v>0.71821405039063724</v>
      </c>
      <c r="F12" s="341">
        <f>IFERROR((Data!M12-Data!L12)/Data!L12,0)</f>
        <v>-0.170087163122221</v>
      </c>
      <c r="G12" s="257">
        <f>IFERROR(Data!M12-Data!L12,0)</f>
        <v>-49021.203126192617</v>
      </c>
      <c r="H12" s="342">
        <f>IFERROR(Data!N12/Data!$N$11,0)</f>
        <v>0.73141553680322546</v>
      </c>
      <c r="I12" s="341">
        <f>IFERROR((Data!N12-Data!M12)/Data!M12,0)</f>
        <v>-0.15041716258188687</v>
      </c>
      <c r="J12" s="257">
        <f>IFERROR(Data!N12-Data!M12,0)</f>
        <v>-35978.437831059942</v>
      </c>
      <c r="K12" s="342">
        <f>IFERROR(Data!O12/Data!$O$11,0)</f>
        <v>0.74825481489181311</v>
      </c>
      <c r="L12" s="341">
        <f>IFERROR((Data!O12-Data!N12)/Data!N12,0)</f>
        <v>0.13326384605962718</v>
      </c>
      <c r="M12" s="257">
        <f>IFERROR(Data!O12-Data!N12,0)</f>
        <v>27080.893180222105</v>
      </c>
      <c r="N12" s="342">
        <f>IFERROR(Data!P12/Data!$P$11,0)</f>
        <v>0.75359281112120968</v>
      </c>
      <c r="O12" s="341">
        <f>IFERROR((Data!P12-Data!O12)/Data!O12,0)</f>
        <v>0.11125243317982121</v>
      </c>
      <c r="P12" s="257">
        <f>IFERROR(Data!P12-Data!O12,0)</f>
        <v>25620.711909620179</v>
      </c>
      <c r="Q12" s="342">
        <f>IFERROR(Data!Q12/Data!$Q$11,0)</f>
        <v>0.72423074812404475</v>
      </c>
      <c r="R12" s="341">
        <f>IFERROR((Data!Q12-Data!P12)/Data!P12,0)</f>
        <v>-3.2015836618804833E-2</v>
      </c>
      <c r="S12" s="257">
        <f>IFERROR(Data!Q12-Data!P12,0)</f>
        <v>-8193.3075074655062</v>
      </c>
      <c r="T12" s="342">
        <f>IFERROR(Data!R12/Data!$R$11,0)</f>
        <v>0.73053267246079767</v>
      </c>
      <c r="U12" s="341">
        <f>IFERROR((Data!R12-Data!Q12)/Data!Q12,0)</f>
        <v>9.5852899263556793E-2</v>
      </c>
      <c r="V12" s="257">
        <f>IFERROR(Data!R12-Data!Q12,0)</f>
        <v>23744.76662729145</v>
      </c>
    </row>
    <row r="13" spans="1:23" ht="17.25" customHeight="1" thickTop="1" thickBot="1" x14ac:dyDescent="0.3">
      <c r="A13" s="4"/>
      <c r="B13" s="3"/>
      <c r="C13" s="258" t="s">
        <v>12</v>
      </c>
      <c r="D13" s="335">
        <f>IFERROR(Data!L13/Data!$L$11,0)</f>
        <v>0.26281429248432603</v>
      </c>
      <c r="E13" s="343">
        <f>IFERROR(Data!M13/Data!$M$11,0)</f>
        <v>0.28178594960936276</v>
      </c>
      <c r="F13" s="337">
        <f>IFERROR((Data!M13-Data!L13)/Data!L13,0)</f>
        <v>-8.6673945779154146E-2</v>
      </c>
      <c r="G13" s="259">
        <f>IFERROR(Data!M13-Data!L13,0)</f>
        <v>-8905.8026952010696</v>
      </c>
      <c r="H13" s="338">
        <f>IFERROR(Data!N13/Data!$N$11,0)</f>
        <v>0.26858446319677448</v>
      </c>
      <c r="I13" s="337">
        <f>IFERROR((Data!N13-Data!M13)/Data!M13,0)</f>
        <v>-0.20483547224544088</v>
      </c>
      <c r="J13" s="259">
        <f>IFERROR(Data!N13-Data!M13,0)</f>
        <v>-19222.749901167161</v>
      </c>
      <c r="K13" s="338">
        <f>IFERROR(Data!O13/Data!$O$11,0)</f>
        <v>0.25174518510818689</v>
      </c>
      <c r="L13" s="337">
        <f>IFERROR((Data!O13-Data!N13)/Data!N13,0)</f>
        <v>3.8307477722996267E-2</v>
      </c>
      <c r="M13" s="259">
        <f>IFERROR(Data!O13-Data!N13,0)</f>
        <v>2858.5836392975907</v>
      </c>
      <c r="N13" s="338">
        <f>IFERROR(Data!P13/Data!$P$11,0)</f>
        <v>0.24640718887879026</v>
      </c>
      <c r="O13" s="337">
        <f>IFERROR((Data!P13-Data!O13)/Data!O13,0)</f>
        <v>7.9984939714578415E-2</v>
      </c>
      <c r="P13" s="259">
        <f>IFERROR(Data!P13-Data!O13,0)</f>
        <v>6197.2861518841673</v>
      </c>
      <c r="Q13" s="338">
        <f>IFERROR(Data!Q13/Data!$Q$11,0)</f>
        <v>0.2757692518759553</v>
      </c>
      <c r="R13" s="337">
        <f>IFERROR((Data!Q13-Data!P13)/Data!P13,0)</f>
        <v>0.12725068117221033</v>
      </c>
      <c r="S13" s="259">
        <f>IFERROR(Data!Q13-Data!P13,0)</f>
        <v>10648.076017190033</v>
      </c>
      <c r="T13" s="338">
        <f>IFERROR(Data!R13/Data!$R$11,0)</f>
        <v>0.26946732753920238</v>
      </c>
      <c r="U13" s="337">
        <f>IFERROR((Data!R13-Data!Q13)/Data!Q13,0)</f>
        <v>6.1572966578235674E-2</v>
      </c>
      <c r="V13" s="259">
        <f>IFERROR(Data!R13-Data!Q13,0)</f>
        <v>5807.9331896379881</v>
      </c>
    </row>
    <row r="14" spans="1:23" ht="16.5" customHeight="1" thickBot="1" x14ac:dyDescent="0.3">
      <c r="A14" s="4"/>
      <c r="B14" s="5"/>
      <c r="C14" s="238" t="s">
        <v>13</v>
      </c>
      <c r="D14" s="328">
        <f>IFERROR(Data!L14/Data!$L$11,0)</f>
        <v>0.12815022586712932</v>
      </c>
      <c r="E14" s="329">
        <f>IFERROR(Data!M14/Data!$M$11,0)</f>
        <v>0.12823821028521226</v>
      </c>
      <c r="F14" s="330">
        <f>IFERROR((Data!M14-Data!L14)/Data!L14,0)</f>
        <v>-0.14758013094037523</v>
      </c>
      <c r="G14" s="242">
        <f>IFERROR(Data!M14-Data!L14,0)</f>
        <v>-7394.056912504966</v>
      </c>
      <c r="H14" s="331">
        <f>IFERROR(Data!N14/Data!$N$11,0)</f>
        <v>0.1179876850218049</v>
      </c>
      <c r="I14" s="330">
        <f>IFERROR((Data!N14-Data!M14)/Data!M14,0)</f>
        <v>-0.2324358577180371</v>
      </c>
      <c r="J14" s="242">
        <f>IFERROR(Data!N14-Data!M14,0)</f>
        <v>-9926.8529605744188</v>
      </c>
      <c r="K14" s="331">
        <f>IFERROR(Data!O14/Data!$O$11,0)</f>
        <v>0.11556390024914974</v>
      </c>
      <c r="L14" s="330">
        <f>IFERROR((Data!O14-Data!N14)/Data!N14,0)</f>
        <v>8.5003666580075979E-2</v>
      </c>
      <c r="M14" s="242">
        <f>IFERROR(Data!O14-Data!N14,0)</f>
        <v>2786.5112379945786</v>
      </c>
      <c r="N14" s="331">
        <f>IFERROR(Data!P14/Data!$P$11,0)</f>
        <v>0.11439561925231632</v>
      </c>
      <c r="O14" s="330">
        <f>IFERROR((Data!P14-Data!O14)/Data!O14,0)</f>
        <v>9.2226479095063249E-2</v>
      </c>
      <c r="P14" s="242">
        <f>IFERROR(Data!P14-Data!O14,0)</f>
        <v>3280.2728890355647</v>
      </c>
      <c r="Q14" s="331">
        <f>IFERROR(Data!Q14/Data!$Q$11,0)</f>
        <v>0.11197345729047373</v>
      </c>
      <c r="R14" s="330">
        <f>IFERROR((Data!Q14-Data!P14)/Data!P14,0)</f>
        <v>-1.4098031615436969E-2</v>
      </c>
      <c r="S14" s="242">
        <f>IFERROR(Data!Q14-Data!P14,0)</f>
        <v>-547.6782911945993</v>
      </c>
      <c r="T14" s="331">
        <f>IFERROR(Data!R14/Data!$R$11,0)</f>
        <v>0.12236570689054874</v>
      </c>
      <c r="U14" s="330">
        <f>IFERROR((Data!R14-Data!Q14)/Data!Q14,0)</f>
        <v>0.18722822227539784</v>
      </c>
      <c r="V14" s="242">
        <f>IFERROR(Data!R14-Data!Q14,0)</f>
        <v>7170.8740406891811</v>
      </c>
    </row>
    <row r="15" spans="1:23" ht="16.5" customHeight="1" thickBot="1" x14ac:dyDescent="0.3">
      <c r="A15" s="4"/>
      <c r="B15" s="3"/>
      <c r="C15" s="260" t="s">
        <v>14</v>
      </c>
      <c r="D15" s="344">
        <f>IFERROR(Data!L15/Data!$L$11,0)</f>
        <v>0.13466406661719671</v>
      </c>
      <c r="E15" s="345">
        <f>IFERROR(Data!M15/Data!$M$11,0)</f>
        <v>0.15354773932415047</v>
      </c>
      <c r="F15" s="346">
        <f>IFERROR((Data!M15-Data!L15)/Data!L15,0)</f>
        <v>-2.8713856044875027E-2</v>
      </c>
      <c r="G15" s="264">
        <f>IFERROR(Data!M15-Data!L15,0)</f>
        <v>-1511.7457826961108</v>
      </c>
      <c r="H15" s="347">
        <f>IFERROR(Data!N15/Data!$N$11,0)</f>
        <v>0.15059677817496958</v>
      </c>
      <c r="I15" s="346">
        <f>IFERROR((Data!N15-Data!M15)/Data!M15,0)</f>
        <v>-0.18178450417670397</v>
      </c>
      <c r="J15" s="264">
        <f>IFERROR(Data!N15-Data!M15,0)</f>
        <v>-9295.8969405927346</v>
      </c>
      <c r="K15" s="347">
        <f>IFERROR(Data!O15/Data!$O$11,0)</f>
        <v>0.13618128485903713</v>
      </c>
      <c r="L15" s="346">
        <f>IFERROR((Data!O15-Data!N15)/Data!N15,0)</f>
        <v>1.7225302270637119E-3</v>
      </c>
      <c r="M15" s="264">
        <f>IFERROR(Data!O15-Data!N15,0)</f>
        <v>72.072401303004881</v>
      </c>
      <c r="N15" s="347">
        <f>IFERROR(Data!P15/Data!$P$11,0)</f>
        <v>0.13201156962647395</v>
      </c>
      <c r="O15" s="346">
        <f>IFERROR((Data!P15-Data!O15)/Data!O15,0)</f>
        <v>6.9596727873820055E-2</v>
      </c>
      <c r="P15" s="264">
        <f>IFERROR(Data!P15-Data!O15,0)</f>
        <v>2917.0132628486172</v>
      </c>
      <c r="Q15" s="347">
        <f>IFERROR(Data!Q15/Data!$Q$11,0)</f>
        <v>0.16379579458548157</v>
      </c>
      <c r="R15" s="346">
        <f>IFERROR((Data!Q15-Data!P15)/Data!P15,0)</f>
        <v>0.24973747210737365</v>
      </c>
      <c r="S15" s="264">
        <f>IFERROR(Data!Q15-Data!P15,0)</f>
        <v>11195.754308384618</v>
      </c>
      <c r="T15" s="347">
        <f>IFERROR(Data!R15/Data!$R$11,0)</f>
        <v>0.14710162064865362</v>
      </c>
      <c r="U15" s="346">
        <f>IFERROR((Data!R15-Data!Q15)/Data!Q15,0)</f>
        <v>-2.4327000772799423E-2</v>
      </c>
      <c r="V15" s="264">
        <f>IFERROR(Data!R15-Data!Q15,0)</f>
        <v>-1362.9408510511857</v>
      </c>
    </row>
    <row r="16" spans="1:23" ht="16.5" customHeight="1" thickBot="1" x14ac:dyDescent="0.3">
      <c r="A16" s="4"/>
      <c r="B16" s="5"/>
      <c r="C16" s="253" t="s">
        <v>15</v>
      </c>
      <c r="D16" s="339">
        <f>IFERROR(Data!L16/Data!$L$11,0)</f>
        <v>6.1137446420440743E-2</v>
      </c>
      <c r="E16" s="340">
        <f>IFERROR(Data!M16/Data!$M$11,0)</f>
        <v>6.0854067961469666E-2</v>
      </c>
      <c r="F16" s="341">
        <f>IFERROR((Data!M16-Data!L16)/Data!L16,0)</f>
        <v>-0.15211332185165935</v>
      </c>
      <c r="G16" s="257">
        <f>IFERROR(Data!M16-Data!L16,0)</f>
        <v>-3635.88440661606</v>
      </c>
      <c r="H16" s="342">
        <f>IFERROR(Data!N16/Data!$N$11,0)</f>
        <v>4.7306841349802058E-2</v>
      </c>
      <c r="I16" s="341">
        <f>IFERROR((Data!N16-Data!M16)/Data!M16,0)</f>
        <v>-0.35147043056729294</v>
      </c>
      <c r="J16" s="257">
        <f>IFERROR(Data!N16-Data!M16,0)</f>
        <v>-7123.1062450015179</v>
      </c>
      <c r="K16" s="342">
        <f>IFERROR(Data!O16/Data!$O$11,0)</f>
        <v>4.8943143834437236E-2</v>
      </c>
      <c r="L16" s="341">
        <f>IFERROR((Data!O16-Data!N16)/Data!N16,0)</f>
        <v>0.14607649688788527</v>
      </c>
      <c r="M16" s="257">
        <f>IFERROR(Data!O16-Data!N16,0)</f>
        <v>1919.9537029004914</v>
      </c>
      <c r="N16" s="342">
        <f>IFERROR(Data!P16/Data!$P$11,0)</f>
        <v>8.6247203562860753E-2</v>
      </c>
      <c r="O16" s="341">
        <f>IFERROR((Data!P16-Data!O16)/Data!O16,0)</f>
        <v>0.94436886538904896</v>
      </c>
      <c r="P16" s="257">
        <f>IFERROR(Data!P16-Data!O16,0)</f>
        <v>14225.439007585006</v>
      </c>
      <c r="Q16" s="342">
        <f>IFERROR(Data!Q16/Data!$Q$11,0)</f>
        <v>8.956545129533354E-2</v>
      </c>
      <c r="R16" s="341">
        <f>IFERROR((Data!Q16-Data!P16)/Data!P16,0)</f>
        <v>4.5980373246229014E-2</v>
      </c>
      <c r="S16" s="257">
        <f>IFERROR(Data!Q16-Data!P16,0)</f>
        <v>1346.713358235229</v>
      </c>
      <c r="T16" s="342">
        <f>IFERROR(Data!R16/Data!$R$11,0)</f>
        <v>8.7540976068005497E-2</v>
      </c>
      <c r="U16" s="341">
        <f>IFERROR((Data!R16-Data!Q16)/Data!Q16,0)</f>
        <v>6.1843327367452211E-2</v>
      </c>
      <c r="V16" s="257">
        <f>IFERROR(Data!R16-Data!Q16,0)</f>
        <v>1894.6066577579222</v>
      </c>
    </row>
    <row r="17" spans="1:22" ht="17.25" customHeight="1" thickTop="1" thickBot="1" x14ac:dyDescent="0.3">
      <c r="A17" s="4"/>
      <c r="B17" s="3"/>
      <c r="C17" s="258" t="s">
        <v>16</v>
      </c>
      <c r="D17" s="335">
        <f>IFERROR(Data!L17/Data!$L$11,0)</f>
        <v>7.352662019675596E-2</v>
      </c>
      <c r="E17" s="343">
        <f>IFERROR(Data!M17/Data!$M$11,0)</f>
        <v>9.2693671362680807E-2</v>
      </c>
      <c r="F17" s="337">
        <f>IFERROR((Data!M17-Data!L17)/Data!L17,0)</f>
        <v>7.3892903369399743E-2</v>
      </c>
      <c r="G17" s="259">
        <f>IFERROR(Data!M17-Data!L17,0)</f>
        <v>2124.1386239199528</v>
      </c>
      <c r="H17" s="338">
        <f>IFERROR(Data!N17/Data!$N$11,0)</f>
        <v>0.10328993682516753</v>
      </c>
      <c r="I17" s="337">
        <f>IFERROR((Data!N17-Data!M17)/Data!M17,0)</f>
        <v>-7.0384462028462935E-2</v>
      </c>
      <c r="J17" s="259">
        <f>IFERROR(Data!N17-Data!M17,0)</f>
        <v>-2172.7906955912149</v>
      </c>
      <c r="K17" s="338">
        <f>IFERROR(Data!O17/Data!$O$11,0)</f>
        <v>8.7238141024599883E-2</v>
      </c>
      <c r="L17" s="337">
        <f>IFERROR((Data!O17-Data!N17)/Data!N17,0)</f>
        <v>-6.4391656778365614E-2</v>
      </c>
      <c r="M17" s="259">
        <f>IFERROR(Data!O17-Data!N17,0)</f>
        <v>-1847.8813015974883</v>
      </c>
      <c r="N17" s="338">
        <f>IFERROR(Data!P17/Data!$P$11,0)</f>
        <v>4.5764366063613206E-2</v>
      </c>
      <c r="O17" s="337">
        <f>IFERROR((Data!P17-Data!O17)/Data!O17,0)</f>
        <v>-0.42117597826045</v>
      </c>
      <c r="P17" s="259">
        <f>IFERROR(Data!P17-Data!O17,0)</f>
        <v>-11308.425744736391</v>
      </c>
      <c r="Q17" s="338">
        <f>IFERROR(Data!Q17/Data!$Q$11,0)</f>
        <v>7.4230343290148063E-2</v>
      </c>
      <c r="R17" s="337">
        <f>IFERROR((Data!Q17-Data!P17)/Data!P17,0)</f>
        <v>0.63373667267376366</v>
      </c>
      <c r="S17" s="259">
        <f>IFERROR(Data!Q17-Data!P17,0)</f>
        <v>9849.0409501493941</v>
      </c>
      <c r="T17" s="338">
        <f>IFERROR(Data!R17/Data!$R$11,0)</f>
        <v>5.9560644580648137E-2</v>
      </c>
      <c r="U17" s="337">
        <f>IFERROR((Data!R17-Data!Q17)/Data!Q17,0)</f>
        <v>-0.12829909609211279</v>
      </c>
      <c r="V17" s="259">
        <f>IFERROR(Data!R17-Data!Q17,0)</f>
        <v>-3257.5475088091116</v>
      </c>
    </row>
    <row r="18" spans="1:22" ht="16.5" customHeight="1" x14ac:dyDescent="0.25">
      <c r="A18" s="4"/>
      <c r="B18" s="5"/>
      <c r="C18" s="238" t="s">
        <v>17</v>
      </c>
      <c r="D18" s="328">
        <f>IFERROR(Data!L18/Data!$L$11,0)</f>
        <v>0</v>
      </c>
      <c r="E18" s="329">
        <f>IFERROR(Data!M18/Data!$M$11,0)</f>
        <v>0</v>
      </c>
      <c r="F18" s="330">
        <f>IFERROR((Data!M18-Data!L18)/Data!L18,0)</f>
        <v>0</v>
      </c>
      <c r="G18" s="242">
        <f>IFERROR(Data!M18-Data!L18,0)</f>
        <v>0</v>
      </c>
      <c r="H18" s="331">
        <f>IFERROR(Data!N18/Data!$N$11,0)</f>
        <v>-6.0980626994212774E-3</v>
      </c>
      <c r="I18" s="330">
        <f>IFERROR((Data!N18-Data!M18)/Data!M18,0)</f>
        <v>0</v>
      </c>
      <c r="J18" s="242">
        <f>IFERROR(Data!N18-Data!M18,0)</f>
        <v>-1694.2533188123716</v>
      </c>
      <c r="K18" s="331">
        <f>IFERROR(Data!O18/Data!$O$11,0)</f>
        <v>-1.787792853809414E-2</v>
      </c>
      <c r="L18" s="330">
        <f>IFERROR((Data!O18-Data!N18)/Data!N18,0)</f>
        <v>2.2476633684700618</v>
      </c>
      <c r="M18" s="242">
        <f>IFERROR(Data!O18-Data!N18,0)</f>
        <v>-3808.1111216033969</v>
      </c>
      <c r="N18" s="331">
        <f>IFERROR(Data!P18/Data!$P$11,0)</f>
        <v>-1.8221865646676397E-2</v>
      </c>
      <c r="O18" s="330">
        <f>IFERROR((Data!P18-Data!O18)/Data!O18,0)</f>
        <v>0.12460792954993193</v>
      </c>
      <c r="P18" s="242">
        <f>IFERROR(Data!P18-Data!O18,0)</f>
        <v>-685.63824054937868</v>
      </c>
      <c r="Q18" s="331">
        <f>IFERROR(Data!Q18/Data!$Q$11,0)</f>
        <v>-1.0794670946510647E-2</v>
      </c>
      <c r="R18" s="330">
        <f>IFERROR((Data!Q18-Data!P18)/Data!P18,0)</f>
        <v>-0.40331570424078317</v>
      </c>
      <c r="S18" s="242">
        <f>IFERROR(Data!Q18-Data!P18,0)</f>
        <v>2495.7186591173127</v>
      </c>
      <c r="T18" s="331">
        <f>IFERROR(Data!R18/Data!$R$11,0)</f>
        <v>-8.7987689113997233E-3</v>
      </c>
      <c r="U18" s="330">
        <f>IFERROR((Data!R18-Data!Q18)/Data!Q18,0)</f>
        <v>-0.11447244528840581</v>
      </c>
      <c r="V18" s="242">
        <f>IFERROR(Data!R18-Data!Q18,0)</f>
        <v>422.66478068023116</v>
      </c>
    </row>
    <row r="19" spans="1:22" ht="16.5" customHeight="1" x14ac:dyDescent="0.25">
      <c r="A19" s="4"/>
      <c r="B19" s="5"/>
      <c r="C19" s="238" t="s">
        <v>18</v>
      </c>
      <c r="D19" s="328">
        <f>IFERROR(Data!L19/Data!$L$11,0)</f>
        <v>1.5345424713833051E-3</v>
      </c>
      <c r="E19" s="329">
        <f>IFERROR(Data!M19/Data!$M$11,0)</f>
        <v>3.9270810454645286E-3</v>
      </c>
      <c r="F19" s="330">
        <f>IFERROR((Data!M19-Data!L19)/Data!L19,0)</f>
        <v>1.1799495507035123</v>
      </c>
      <c r="G19" s="242">
        <f>IFERROR(Data!M19-Data!L19,0)</f>
        <v>707.9097173145841</v>
      </c>
      <c r="H19" s="331">
        <f>IFERROR(Data!N19/Data!$N$11,0)</f>
        <v>9.5722213587617361E-3</v>
      </c>
      <c r="I19" s="330">
        <f>IFERROR((Data!N19-Data!M19)/Data!M19,0)</f>
        <v>1.0334725542294825</v>
      </c>
      <c r="J19" s="242">
        <f>IFERROR(Data!N19-Data!M19,0)</f>
        <v>1351.6362330756003</v>
      </c>
      <c r="K19" s="331">
        <f>IFERROR(Data!O19/Data!$O$11,0)</f>
        <v>1.4497461401280509E-2</v>
      </c>
      <c r="L19" s="330">
        <f>IFERROR((Data!O19-Data!N19)/Data!N19,0)</f>
        <v>0.67774102082373444</v>
      </c>
      <c r="M19" s="242">
        <f>IFERROR(Data!O19-Data!N19,0)</f>
        <v>1802.4489169351036</v>
      </c>
      <c r="N19" s="331">
        <f>IFERROR(Data!P19/Data!$P$11,0)</f>
        <v>1.281895666126869E-2</v>
      </c>
      <c r="O19" s="330">
        <f>IFERROR((Data!P19-Data!O19)/Data!O19,0)</f>
        <v>-2.4367595883700431E-2</v>
      </c>
      <c r="P19" s="242">
        <f>IFERROR(Data!P19-Data!O19,0)</f>
        <v>-108.7268484081651</v>
      </c>
      <c r="Q19" s="331">
        <f>IFERROR(Data!Q19/Data!$Q$11,0)</f>
        <v>8.0597930669046493E-3</v>
      </c>
      <c r="R19" s="330">
        <f>IFERROR((Data!Q19-Data!P19)/Data!P19,0)</f>
        <v>-0.36671492643391002</v>
      </c>
      <c r="S19" s="242">
        <f>IFERROR(Data!Q19-Data!P19,0)</f>
        <v>-1596.3897099116925</v>
      </c>
      <c r="T19" s="331">
        <f>IFERROR(Data!R19/Data!$R$11,0)</f>
        <v>5.758820940330962E-3</v>
      </c>
      <c r="U19" s="330">
        <f>IFERROR((Data!R19-Data!Q19)/Data!Q19,0)</f>
        <v>-0.22375420635242368</v>
      </c>
      <c r="V19" s="242">
        <f>IFERROR(Data!R19-Data!Q19,0)</f>
        <v>-616.85173773716861</v>
      </c>
    </row>
    <row r="20" spans="1:22" ht="16.5" customHeight="1" x14ac:dyDescent="0.25">
      <c r="A20" s="4"/>
      <c r="B20" s="5"/>
      <c r="C20" s="238" t="s">
        <v>19</v>
      </c>
      <c r="D20" s="328">
        <f>IFERROR(Data!L20/Data!$L$11,0)</f>
        <v>1.1429421002258008E-3</v>
      </c>
      <c r="E20" s="329">
        <f>IFERROR(Data!M20/Data!$M$11,0)</f>
        <v>3.6095510024787428E-3</v>
      </c>
      <c r="F20" s="330">
        <f>IFERROR((Data!M20-Data!L20)/Data!L20,0)</f>
        <v>1.6901992315132743</v>
      </c>
      <c r="G20" s="242">
        <f>IFERROR(Data!M20-Data!L20,0)</f>
        <v>755.26203055429346</v>
      </c>
      <c r="H20" s="331">
        <f>IFERROR(Data!N20/Data!$N$11,0)</f>
        <v>-1.2333263240658626E-2</v>
      </c>
      <c r="I20" s="330">
        <f>IFERROR((Data!N20-Data!M20)/Data!M20,0)</f>
        <v>-3.8504948751935406</v>
      </c>
      <c r="J20" s="242">
        <f>IFERROR(Data!N20-Data!M20,0)</f>
        <v>-4628.7182486046258</v>
      </c>
      <c r="K20" s="331">
        <f>IFERROR(Data!O20/Data!$O$11,0)</f>
        <v>-3.062127182225803E-3</v>
      </c>
      <c r="L20" s="330">
        <f>IFERROR((Data!O20-Data!N20)/Data!N20,0)</f>
        <v>-0.72496312887689474</v>
      </c>
      <c r="M20" s="242">
        <f>IFERROR(Data!O20-Data!N20,0)</f>
        <v>2484.1646647973939</v>
      </c>
      <c r="N20" s="331">
        <f>IFERROR(Data!P20/Data!$P$11,0)</f>
        <v>-5.5558680525744986E-4</v>
      </c>
      <c r="O20" s="330">
        <f>IFERROR((Data!P20-Data!O20)/Data!O20,0)</f>
        <v>-0.79980455285331287</v>
      </c>
      <c r="P20" s="242">
        <f>IFERROR(Data!P20-Data!O20,0)</f>
        <v>753.77069942419257</v>
      </c>
      <c r="Q20" s="331">
        <f>IFERROR(Data!Q20/Data!$Q$11,0)</f>
        <v>0</v>
      </c>
      <c r="R20" s="330">
        <f>IFERROR((Data!Q20-Data!P20)/Data!P20,0)</f>
        <v>-1</v>
      </c>
      <c r="S20" s="242">
        <f>IFERROR(Data!Q20-Data!P20,0)</f>
        <v>188.67292225201072</v>
      </c>
      <c r="T20" s="331">
        <f>IFERROR(Data!R20/Data!$R$11,0)</f>
        <v>0</v>
      </c>
      <c r="U20" s="330">
        <f>IFERROR((Data!R20-Data!Q20)/Data!Q20,0)</f>
        <v>0</v>
      </c>
      <c r="V20" s="242">
        <f>IFERROR(Data!R20-Data!Q20,0)</f>
        <v>0</v>
      </c>
    </row>
    <row r="21" spans="1:22" ht="15.75" x14ac:dyDescent="0.25">
      <c r="A21" s="4"/>
      <c r="B21" s="5"/>
      <c r="C21" s="238" t="s">
        <v>20</v>
      </c>
      <c r="D21" s="328">
        <f>IFERROR(Data!L21/Data!$L$11,0)</f>
        <v>1.4341865796561618E-2</v>
      </c>
      <c r="E21" s="348">
        <f>IFERROR(Data!M21/Data!$M$11,0)</f>
        <v>1.292711242195099E-4</v>
      </c>
      <c r="F21" s="330">
        <f>IFERROR((Data!M21-Data!L21)/Data!L21,0)</f>
        <v>-0.99232194244597083</v>
      </c>
      <c r="G21" s="242">
        <f>IFERROR(Data!M21-Data!L21,0)</f>
        <v>-5564.0851897605235</v>
      </c>
      <c r="H21" s="331">
        <f>IFERROR(Data!N21/Data!$N$11,0)</f>
        <v>6.2942840947531054E-2</v>
      </c>
      <c r="I21" s="330">
        <f>IFERROR((Data!N21-Data!M21)/Data!M21,0)</f>
        <v>405.20032022031387</v>
      </c>
      <c r="J21" s="242">
        <f>IFERROR(Data!N21-Data!M21,0)</f>
        <v>17444.652358949505</v>
      </c>
      <c r="K21" s="331">
        <f>IFERROR(Data!O21/Data!$O$11,0)</f>
        <v>5.7136607903709745E-2</v>
      </c>
      <c r="L21" s="330">
        <f>IFERROR((Data!O21-Data!N21)/Data!N21,0)</f>
        <v>5.5734719345596224E-3</v>
      </c>
      <c r="M21" s="242">
        <f>IFERROR(Data!O21-Data!N21,0)</f>
        <v>97.467229006702837</v>
      </c>
      <c r="N21" s="331">
        <f>IFERROR(Data!P21/Data!$P$11,0)</f>
        <v>4.2230518195714578E-2</v>
      </c>
      <c r="O21" s="330">
        <f>IFERROR((Data!P21-Data!O21)/Data!O21,0)</f>
        <v>-0.18447466905058224</v>
      </c>
      <c r="P21" s="242">
        <f>IFERROR(Data!P21-Data!O21,0)</f>
        <v>-3244.0186943960343</v>
      </c>
      <c r="Q21" s="331">
        <f>IFERROR(Data!Q21/Data!$Q$11,0)</f>
        <v>4.3272245397713321E-2</v>
      </c>
      <c r="R21" s="330">
        <f>IFERROR((Data!Q21-Data!P21)/Data!P21,0)</f>
        <v>3.2074529853988433E-2</v>
      </c>
      <c r="S21" s="242">
        <f>IFERROR(Data!Q21-Data!P21,0)</f>
        <v>459.98573410575773</v>
      </c>
      <c r="T21" s="331">
        <f>IFERROR(Data!R21/Data!$R$11,0)</f>
        <v>3.2160875820342522E-2</v>
      </c>
      <c r="U21" s="330">
        <f>IFERROR((Data!R21-Data!Q21)/Data!Q21,0)</f>
        <v>-0.19256417989688462</v>
      </c>
      <c r="V21" s="242">
        <f>IFERROR(Data!R21-Data!Q21,0)</f>
        <v>-2850.1691062512964</v>
      </c>
    </row>
    <row r="22" spans="1:22" ht="15.75" x14ac:dyDescent="0.25">
      <c r="A22" s="4"/>
      <c r="B22" s="5"/>
      <c r="C22" s="238" t="s">
        <v>21</v>
      </c>
      <c r="D22" s="328">
        <f>IFERROR(Data!L22/Data!$L$11,0)</f>
        <v>1.3633002751822268E-3</v>
      </c>
      <c r="E22" s="329">
        <f>IFERROR(Data!M22/Data!$M$11,0)</f>
        <v>4.5244893476828465E-3</v>
      </c>
      <c r="F22" s="330">
        <f>IFERROR((Data!M22-Data!L22)/Data!L22,0)</f>
        <v>1.8270503247133414</v>
      </c>
      <c r="G22" s="242">
        <f>IFERROR(Data!M22-Data!L22,0)</f>
        <v>973.81745326811472</v>
      </c>
      <c r="H22" s="331">
        <f>IFERROR(Data!N22/Data!$N$11,0)</f>
        <v>6.8808912131213479E-3</v>
      </c>
      <c r="I22" s="330">
        <f>IFERROR((Data!N22-Data!M22)/Data!M22,0)</f>
        <v>0.26873396883143341</v>
      </c>
      <c r="J22" s="242">
        <f>IFERROR(Data!N22-Data!M22,0)</f>
        <v>404.93298012811806</v>
      </c>
      <c r="K22" s="331">
        <f>IFERROR(Data!O22/Data!$O$11,0)</f>
        <v>2.0572990262478874E-3</v>
      </c>
      <c r="L22" s="330">
        <f>IFERROR((Data!O22-Data!N22)/Data!N22,0)</f>
        <v>-0.66879382586424585</v>
      </c>
      <c r="M22" s="242">
        <f>IFERROR(Data!O22-Data!N22,0)</f>
        <v>-1278.5667510814915</v>
      </c>
      <c r="N22" s="331">
        <f>IFERROR(Data!P22/Data!$P$11,0)</f>
        <v>-6.5229640901451921E-4</v>
      </c>
      <c r="O22" s="330">
        <f>IFERROR((Data!P22-Data!O22)/Data!O22,0)</f>
        <v>-1.3498429007337378</v>
      </c>
      <c r="P22" s="242">
        <f>IFERROR(Data!P22-Data!O22,0)</f>
        <v>-854.69822521806577</v>
      </c>
      <c r="Q22" s="331">
        <f>IFERROR(Data!Q22/Data!$Q$11,0)</f>
        <v>-3.4365899671364841E-4</v>
      </c>
      <c r="R22" s="330">
        <f>IFERROR((Data!Q22-Data!P22)/Data!P22,0)</f>
        <v>-0.46934682162796415</v>
      </c>
      <c r="S22" s="242">
        <f>IFERROR(Data!Q22-Data!P22,0)</f>
        <v>103.96724165418374</v>
      </c>
      <c r="T22" s="331">
        <f>IFERROR(Data!R22/Data!$R$11,0)</f>
        <v>1.8640415705905152E-3</v>
      </c>
      <c r="U22" s="330">
        <f>IFERROR((Data!R22-Data!Q22)/Data!Q22,0)</f>
        <v>-6.8927423372320531</v>
      </c>
      <c r="V22" s="242">
        <f>IFERROR(Data!R22-Data!Q22,0)</f>
        <v>810.22465507274228</v>
      </c>
    </row>
    <row r="23" spans="1:22" ht="16.5" thickBot="1" x14ac:dyDescent="0.3">
      <c r="A23" s="4"/>
      <c r="B23" s="5"/>
      <c r="C23" s="243" t="s">
        <v>22</v>
      </c>
      <c r="D23" s="349">
        <f>IFERROR(Data!L23/Data!$L$11,0)</f>
        <v>-3.2137779612620948E-3</v>
      </c>
      <c r="E23" s="332">
        <f>IFERROR(Data!M23/Data!$M$11,0)</f>
        <v>-3.11756769476954E-3</v>
      </c>
      <c r="F23" s="333">
        <f>IFERROR((Data!M23-Data!L23)/Data!L23,0)</f>
        <v>-0.17366620231025057</v>
      </c>
      <c r="G23" s="247">
        <f>IFERROR(Data!M23-Data!L23,0)</f>
        <v>218.20600457389423</v>
      </c>
      <c r="H23" s="334">
        <f>IFERROR(Data!N23/Data!$N$11,0)</f>
        <v>-1.0435046946854513E-2</v>
      </c>
      <c r="I23" s="333">
        <f>IFERROR((Data!N23-Data!M23)/Data!M23,0)</f>
        <v>1.7923764127744479</v>
      </c>
      <c r="J23" s="247">
        <f>IFERROR(Data!N23-Data!M23,0)</f>
        <v>-1860.956090940592</v>
      </c>
      <c r="K23" s="334">
        <f>IFERROR(Data!O23/Data!$O$11,0)</f>
        <v>-1.2577676573102874E-2</v>
      </c>
      <c r="L23" s="333">
        <f>IFERROR((Data!O23-Data!N23)/Data!N23,0)</f>
        <v>0.33521656254053528</v>
      </c>
      <c r="M23" s="247">
        <f>IFERROR(Data!O23-Data!N23,0)</f>
        <v>-971.8658798329966</v>
      </c>
      <c r="N23" s="334">
        <f>IFERROR(Data!P23/Data!$P$11,0)</f>
        <v>5.7246164428036705E-3</v>
      </c>
      <c r="O23" s="333">
        <f>IFERROR((Data!P23-Data!O23)/Data!O23,0)</f>
        <v>-1.5021939413211138</v>
      </c>
      <c r="P23" s="247">
        <f>IFERROR(Data!P23-Data!O23,0)</f>
        <v>5815.1186960372906</v>
      </c>
      <c r="Q23" s="334">
        <f>IFERROR(Data!Q23/Data!$Q$11,0)</f>
        <v>7.9131532332284062E-3</v>
      </c>
      <c r="R23" s="333">
        <f>IFERROR((Data!Q23-Data!P23)/Data!P23,0)</f>
        <v>0.39229486564008298</v>
      </c>
      <c r="S23" s="247">
        <f>IFERROR(Data!Q23-Data!P23,0)</f>
        <v>762.6348912795313</v>
      </c>
      <c r="T23" s="334">
        <f>IFERROR(Data!R23/Data!$R$11,0)</f>
        <v>7.9825322060398246E-3</v>
      </c>
      <c r="U23" s="333">
        <f>IFERROR((Data!R23-Data!Q23)/Data!Q23,0)</f>
        <v>9.5924611077167932E-2</v>
      </c>
      <c r="V23" s="247">
        <f>IFERROR(Data!R23-Data!Q23,0)</f>
        <v>259.6362424908898</v>
      </c>
    </row>
    <row r="24" spans="1:22" ht="17.25" thickTop="1" thickBot="1" x14ac:dyDescent="0.3">
      <c r="A24" s="4"/>
      <c r="B24" s="3"/>
      <c r="C24" s="258" t="s">
        <v>23</v>
      </c>
      <c r="D24" s="335">
        <f>IFERROR(Data!L24/Data!$L$11,0)</f>
        <v>8.8695492878846802E-2</v>
      </c>
      <c r="E24" s="343">
        <f>IFERROR(Data!M24/Data!$M$11,0)</f>
        <v>0.10176649618775689</v>
      </c>
      <c r="F24" s="337">
        <f>IFERROR((Data!M24-Data!L24)/Data!L24,0)</f>
        <v>-2.2630544528835519E-2</v>
      </c>
      <c r="G24" s="259">
        <f>IFERROR(Data!M24-Data!L24,0)</f>
        <v>-784.75136012968142</v>
      </c>
      <c r="H24" s="338">
        <f>IFERROR(Data!N24/Data!$N$11,0)</f>
        <v>0.15381951745764724</v>
      </c>
      <c r="I24" s="337">
        <f>IFERROR((Data!N24-Data!M24)/Data!M24,0)</f>
        <v>0.26096220224980377</v>
      </c>
      <c r="J24" s="259">
        <f>IFERROR(Data!N24-Data!M24,0)</f>
        <v>8844.503218204416</v>
      </c>
      <c r="K24" s="338">
        <f>IFERROR(Data!O24/Data!$O$11,0)</f>
        <v>0.12741177706241522</v>
      </c>
      <c r="L24" s="337">
        <f>IFERROR((Data!O24-Data!N24)/Data!N24,0)</f>
        <v>-8.242024357293222E-2</v>
      </c>
      <c r="M24" s="259">
        <f>IFERROR(Data!O24-Data!N24,0)</f>
        <v>-3522.3442433761738</v>
      </c>
      <c r="N24" s="338">
        <f>IFERROR(Data!P24/Data!$P$11,0)</f>
        <v>8.7108708502451782E-2</v>
      </c>
      <c r="O24" s="337">
        <f>IFERROR((Data!P24-Data!O24)/Data!O24,0)</f>
        <v>-0.24564200078672324</v>
      </c>
      <c r="P24" s="259">
        <f>IFERROR(Data!P24-Data!O24,0)</f>
        <v>-9632.6183578465498</v>
      </c>
      <c r="Q24" s="338">
        <f>IFERROR(Data!Q24/Data!$Q$11,0)</f>
        <v>0.12233720504477014</v>
      </c>
      <c r="R24" s="337">
        <f>IFERROR((Data!Q24-Data!P24)/Data!P24,0)</f>
        <v>0.41457187496370429</v>
      </c>
      <c r="S24" s="259">
        <f>IFERROR(Data!Q24-Data!P24,0)</f>
        <v>12263.630688646495</v>
      </c>
      <c r="T24" s="338">
        <f>IFERROR(Data!R24/Data!$R$11,0)</f>
        <v>9.8528146206552231E-2</v>
      </c>
      <c r="U24" s="337">
        <f>IFERROR((Data!R24-Data!Q24)/Data!Q24,0)</f>
        <v>-0.12503368495014872</v>
      </c>
      <c r="V24" s="259">
        <f>IFERROR(Data!R24-Data!Q24,0)</f>
        <v>-5232.0426745537115</v>
      </c>
    </row>
    <row r="25" spans="1:22" ht="16.5" thickBot="1" x14ac:dyDescent="0.3">
      <c r="A25" s="4"/>
      <c r="B25" s="5"/>
      <c r="C25" s="253" t="s">
        <v>24</v>
      </c>
      <c r="D25" s="339">
        <f>IFERROR(Data!L25/Data!$L$11,0)</f>
        <v>-1.4157349011507741E-2</v>
      </c>
      <c r="E25" s="340">
        <f>IFERROR(Data!M25/Data!$M$11,0)</f>
        <v>-1.4275046280317529E-2</v>
      </c>
      <c r="F25" s="341">
        <f>IFERROR((Data!M25-Data!L25)/Data!L25,0)</f>
        <v>-0.14108323806901099</v>
      </c>
      <c r="G25" s="257">
        <f>IFERROR(Data!M25-Data!L25,0)</f>
        <v>780.89542616940889</v>
      </c>
      <c r="H25" s="342">
        <f>IFERROR(Data!N25/Data!$N$11,0)</f>
        <v>-3.5846689035372414E-2</v>
      </c>
      <c r="I25" s="341">
        <f>IFERROR((Data!N25-Data!M25)/Data!M25,0)</f>
        <v>1.0949177166770783</v>
      </c>
      <c r="J25" s="257">
        <f>IFERROR(Data!N25-Data!M25,0)</f>
        <v>-5205.3510234173564</v>
      </c>
      <c r="K25" s="342">
        <f>IFERROR(Data!O25/Data!$O$11,0)</f>
        <v>-1.4405424339579942E-2</v>
      </c>
      <c r="L25" s="341">
        <f>IFERROR((Data!O25-Data!N25)/Data!N25,0)</f>
        <v>-0.55483326677605915</v>
      </c>
      <c r="M25" s="257">
        <f>IFERROR(Data!O25-Data!N25,0)</f>
        <v>5525.8361181292876</v>
      </c>
      <c r="N25" s="342">
        <f>IFERROR(Data!P25/Data!$P$11,0)</f>
        <v>-9.5693166084928789E-3</v>
      </c>
      <c r="O25" s="341">
        <f>IFERROR((Data!P25-Data!O25)/Data!O25,0)</f>
        <v>-0.26703984514927476</v>
      </c>
      <c r="P25" s="257">
        <f>IFERROR(Data!P25-Data!O25,0)</f>
        <v>1183.9524978641557</v>
      </c>
      <c r="Q25" s="342">
        <f>IFERROR(Data!Q25/Data!$Q$11,0)</f>
        <v>-2.222088277179873E-4</v>
      </c>
      <c r="R25" s="341">
        <f>IFERROR((Data!Q25-Data!P25)/Data!P25,0)</f>
        <v>-0.97661117394399333</v>
      </c>
      <c r="S25" s="257">
        <f>IFERROR(Data!Q25-Data!P25,0)</f>
        <v>3173.6590327529834</v>
      </c>
      <c r="T25" s="342">
        <f>IFERROR(Data!R25/Data!$R$11,0)</f>
        <v>-2.1114581896296881E-2</v>
      </c>
      <c r="U25" s="341">
        <f>IFERROR((Data!R25-Data!Q25)/Data!Q25,0)</f>
        <v>102.23114730062719</v>
      </c>
      <c r="V25" s="257">
        <f>IFERROR(Data!R25-Data!Q25,0)</f>
        <v>-7770.1648998399605</v>
      </c>
    </row>
    <row r="26" spans="1:22" ht="17.25" thickTop="1" thickBot="1" x14ac:dyDescent="0.3">
      <c r="A26" s="4"/>
      <c r="B26" s="3"/>
      <c r="C26" s="258" t="s">
        <v>25</v>
      </c>
      <c r="D26" s="335">
        <f>IFERROR(Data!L26/Data!$L$11,0)</f>
        <v>7.4538143867339077E-2</v>
      </c>
      <c r="E26" s="343">
        <f>IFERROR(Data!M26/Data!$M$11,0)</f>
        <v>8.7491449907439359E-2</v>
      </c>
      <c r="F26" s="337">
        <f>IFERROR((Data!M26-Data!L26)/Data!L26,0)</f>
        <v>-1.3231695308505486E-4</v>
      </c>
      <c r="G26" s="259">
        <f>IFERROR(Data!M26-Data!L26,0)</f>
        <v>-3.8559339602761611</v>
      </c>
      <c r="H26" s="338">
        <f>IFERROR(Data!N26/Data!$N$11,0)</f>
        <v>0.11797282842227483</v>
      </c>
      <c r="I26" s="337">
        <f>IFERROR((Data!N26-Data!M26)/Data!M26,0)</f>
        <v>0.12489457990762221</v>
      </c>
      <c r="J26" s="259">
        <f>IFERROR(Data!N26-Data!M26,0)</f>
        <v>3639.1521947870606</v>
      </c>
      <c r="K26" s="338">
        <f>IFERROR(Data!O26/Data!$O$11,0)</f>
        <v>0.11300635272283525</v>
      </c>
      <c r="L26" s="337">
        <f>IFERROR((Data!O26-Data!N26)/Data!N26,0)</f>
        <v>6.1125036857296165E-2</v>
      </c>
      <c r="M26" s="259">
        <f>IFERROR(Data!O26-Data!N26,0)</f>
        <v>2003.4918747531119</v>
      </c>
      <c r="N26" s="338">
        <f>IFERROR(Data!P26/Data!$P$11,0)</f>
        <v>7.7539391893958892E-2</v>
      </c>
      <c r="O26" s="337">
        <f>IFERROR((Data!P26-Data!O26)/Data!O26,0)</f>
        <v>-0.24291432202736302</v>
      </c>
      <c r="P26" s="259">
        <f>IFERROR(Data!P26-Data!O26,0)</f>
        <v>-8448.6658599823932</v>
      </c>
      <c r="Q26" s="338">
        <f>IFERROR(Data!Q26/Data!$Q$11,0)</f>
        <v>0.12211499621705214</v>
      </c>
      <c r="R26" s="337">
        <f>IFERROR((Data!Q26-Data!P26)/Data!P26,0)</f>
        <v>0.58626100909532475</v>
      </c>
      <c r="S26" s="259">
        <f>IFERROR(Data!Q26-Data!P26,0)</f>
        <v>15437.28972139948</v>
      </c>
      <c r="T26" s="338">
        <f>IFERROR(Data!R26/Data!$R$11,0)</f>
        <v>7.7413564310255353E-2</v>
      </c>
      <c r="U26" s="337">
        <f>IFERROR((Data!R26-Data!Q26)/Data!Q26,0)</f>
        <v>-0.31128801644984744</v>
      </c>
      <c r="V26" s="259">
        <f>IFERROR(Data!R26-Data!Q26,0)</f>
        <v>-13002.207574393673</v>
      </c>
    </row>
    <row r="30" spans="1:22" x14ac:dyDescent="0.25">
      <c r="E30" s="215"/>
    </row>
    <row r="2020" spans="8957:8957" x14ac:dyDescent="0.25">
      <c r="MFM2020" s="201" t="s">
        <v>133</v>
      </c>
    </row>
  </sheetData>
  <mergeCells count="6">
    <mergeCell ref="T4:V4"/>
    <mergeCell ref="E4:G4"/>
    <mergeCell ref="H4:J4"/>
    <mergeCell ref="K4:M4"/>
    <mergeCell ref="N4:P4"/>
    <mergeCell ref="Q4:S4"/>
  </mergeCells>
  <dataValidations count="1">
    <dataValidation type="list" allowBlank="1" showInputMessage="1" showErrorMessage="1" sqref="C11" xr:uid="{E7ABE69C-2A3E-4761-88A4-A9FAB9C56DD4}">
      <formula1>$C$78:$C$79</formula1>
    </dataValidation>
  </dataValidations>
  <pageMargins left="0.70866141732283472" right="0.70866141732283472" top="0.74803149606299213" bottom="0.74803149606299213" header="0.31496062992125984" footer="0.31496062992125984"/>
  <pageSetup scale="3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16A37"/>
    <pageSetUpPr fitToPage="1"/>
  </sheetPr>
  <dimension ref="A1:MFO2020"/>
  <sheetViews>
    <sheetView showGridLines="0" zoomScale="55" zoomScaleNormal="55" workbookViewId="0">
      <pane xSplit="3" topLeftCell="D1" activePane="topRight" state="frozen"/>
      <selection activeCell="E30" sqref="E30"/>
      <selection pane="topRight" activeCell="D2" sqref="D2"/>
    </sheetView>
  </sheetViews>
  <sheetFormatPr baseColWidth="10" defaultColWidth="10.85546875" defaultRowHeight="15" outlineLevelCol="1" x14ac:dyDescent="0.25"/>
  <cols>
    <col min="1" max="1" width="4.140625" customWidth="1"/>
    <col min="2" max="2" width="4.85546875" customWidth="1"/>
    <col min="3" max="3" width="80.140625" bestFit="1" customWidth="1"/>
    <col min="4" max="4" width="18.7109375" customWidth="1"/>
    <col min="5" max="6" width="18.7109375" hidden="1" customWidth="1" outlineLevel="1"/>
    <col min="7" max="7" width="18.7109375" customWidth="1" collapsed="1"/>
    <col min="8" max="9" width="18.7109375" hidden="1" customWidth="1" outlineLevel="1"/>
    <col min="10" max="10" width="18.7109375" customWidth="1" collapsed="1"/>
    <col min="11" max="11" width="18.5703125" hidden="1" customWidth="1" outlineLevel="1"/>
    <col min="12" max="12" width="18.7109375" hidden="1" customWidth="1" outlineLevel="1"/>
    <col min="13" max="13" width="18.7109375" customWidth="1" collapsed="1"/>
    <col min="14" max="15" width="18.7109375" hidden="1" customWidth="1" outlineLevel="1"/>
    <col min="16" max="16" width="18.7109375" customWidth="1" collapsed="1"/>
    <col min="17" max="18" width="18.7109375" hidden="1" customWidth="1" outlineLevel="1"/>
    <col min="19" max="19" width="18.7109375" customWidth="1" collapsed="1"/>
    <col min="20" max="21" width="18.7109375" hidden="1" customWidth="1" outlineLevel="1"/>
    <col min="22" max="22" width="18.7109375" customWidth="1" collapsed="1"/>
    <col min="23" max="24" width="18.7109375" customWidth="1"/>
  </cols>
  <sheetData>
    <row r="1" spans="1:25" ht="16.5" thickBot="1" x14ac:dyDescent="0.3">
      <c r="A1" s="2"/>
      <c r="B1" s="3"/>
      <c r="C1" s="2"/>
    </row>
    <row r="2" spans="1:25" ht="21" thickBot="1" x14ac:dyDescent="0.35">
      <c r="A2" s="4"/>
      <c r="B2" s="5"/>
      <c r="C2" s="351" t="s">
        <v>142</v>
      </c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6"/>
      <c r="T2" s="316"/>
      <c r="U2" s="316"/>
      <c r="V2" s="316"/>
      <c r="W2" s="316"/>
      <c r="X2" s="316"/>
    </row>
    <row r="3" spans="1:25" ht="19.5" thickBot="1" x14ac:dyDescent="0.35">
      <c r="A3" s="4"/>
      <c r="B3" s="5"/>
      <c r="C3" s="450" t="s">
        <v>134</v>
      </c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</row>
    <row r="4" spans="1:25" ht="19.5" thickBot="1" x14ac:dyDescent="0.3">
      <c r="A4" s="4"/>
      <c r="B4" s="5"/>
      <c r="C4" s="515" t="str">
        <f>CONCATENATE(Data!K4)</f>
        <v>en USD miles a 31 de diciembre</v>
      </c>
      <c r="D4" s="372">
        <v>2013</v>
      </c>
      <c r="E4" s="521">
        <v>2014</v>
      </c>
      <c r="F4" s="522"/>
      <c r="G4" s="523"/>
      <c r="H4" s="521">
        <v>2015</v>
      </c>
      <c r="I4" s="522"/>
      <c r="J4" s="523"/>
      <c r="K4" s="521">
        <v>2016</v>
      </c>
      <c r="L4" s="522"/>
      <c r="M4" s="523"/>
      <c r="N4" s="521">
        <v>2017</v>
      </c>
      <c r="O4" s="522"/>
      <c r="P4" s="523"/>
      <c r="Q4" s="521">
        <v>2018</v>
      </c>
      <c r="R4" s="522"/>
      <c r="S4" s="523"/>
      <c r="T4" s="521">
        <v>2019</v>
      </c>
      <c r="U4" s="522"/>
      <c r="V4" s="523"/>
    </row>
    <row r="5" spans="1:25" ht="16.5" thickBot="1" x14ac:dyDescent="0.3">
      <c r="A5" s="4"/>
      <c r="B5" s="206"/>
      <c r="C5" s="221"/>
      <c r="D5" s="451" t="s">
        <v>135</v>
      </c>
      <c r="E5" s="452" t="s">
        <v>135</v>
      </c>
      <c r="F5" s="455" t="s">
        <v>136</v>
      </c>
      <c r="G5" s="456" t="s">
        <v>137</v>
      </c>
      <c r="H5" s="457" t="s">
        <v>135</v>
      </c>
      <c r="I5" s="455" t="s">
        <v>136</v>
      </c>
      <c r="J5" s="458" t="s">
        <v>137</v>
      </c>
      <c r="K5" s="457" t="s">
        <v>135</v>
      </c>
      <c r="L5" s="455" t="s">
        <v>136</v>
      </c>
      <c r="M5" s="458" t="s">
        <v>137</v>
      </c>
      <c r="N5" s="457" t="s">
        <v>135</v>
      </c>
      <c r="O5" s="455" t="s">
        <v>136</v>
      </c>
      <c r="P5" s="458" t="s">
        <v>137</v>
      </c>
      <c r="Q5" s="457" t="s">
        <v>135</v>
      </c>
      <c r="R5" s="455" t="s">
        <v>136</v>
      </c>
      <c r="S5" s="458" t="s">
        <v>137</v>
      </c>
      <c r="T5" s="457" t="s">
        <v>135</v>
      </c>
      <c r="U5" s="455" t="s">
        <v>136</v>
      </c>
      <c r="V5" s="458" t="s">
        <v>137</v>
      </c>
    </row>
    <row r="6" spans="1:25" ht="19.5" thickBot="1" x14ac:dyDescent="0.35">
      <c r="A6" s="6"/>
      <c r="B6" s="207"/>
      <c r="C6" s="232" t="s">
        <v>26</v>
      </c>
      <c r="D6" s="265"/>
      <c r="E6" s="366"/>
      <c r="F6" s="352"/>
      <c r="G6" s="352"/>
      <c r="H6" s="366"/>
      <c r="I6" s="265"/>
      <c r="J6" s="265"/>
      <c r="K6" s="265"/>
      <c r="L6" s="265"/>
      <c r="M6" s="265"/>
      <c r="N6" s="265"/>
      <c r="O6" s="265"/>
      <c r="P6" s="265"/>
      <c r="Q6" s="265"/>
      <c r="R6" s="265"/>
      <c r="S6" s="265"/>
      <c r="T6" s="352"/>
      <c r="U6" s="352"/>
      <c r="V6" s="352"/>
      <c r="Y6" s="209"/>
    </row>
    <row r="7" spans="1:25" ht="16.5" thickBot="1" x14ac:dyDescent="0.3">
      <c r="A7" s="4"/>
      <c r="B7" s="206"/>
      <c r="C7" s="221"/>
      <c r="D7" s="352"/>
      <c r="E7" s="352"/>
      <c r="F7" s="352"/>
      <c r="G7" s="352"/>
      <c r="H7" s="352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352"/>
      <c r="U7" s="352"/>
      <c r="V7" s="352"/>
      <c r="Y7" s="209"/>
    </row>
    <row r="8" spans="1:25" ht="16.5" thickBot="1" x14ac:dyDescent="0.3">
      <c r="A8" s="4"/>
      <c r="B8" s="206"/>
      <c r="C8" s="460" t="s">
        <v>27</v>
      </c>
      <c r="D8" s="365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Y8" s="209"/>
    </row>
    <row r="9" spans="1:25" ht="15.75" x14ac:dyDescent="0.25">
      <c r="A9" s="4"/>
      <c r="B9" s="206"/>
      <c r="C9" s="233" t="s">
        <v>28</v>
      </c>
      <c r="D9" s="324">
        <f>IFERROR(Data!L31/Data!$L$42,0)</f>
        <v>3.0179059658412611E-3</v>
      </c>
      <c r="E9" s="327">
        <f>IFERROR(Data!M31/Data!$M$42,0)</f>
        <v>4.7730240057728829E-3</v>
      </c>
      <c r="F9" s="326">
        <f>IFERROR((Data!M31-Data!L31)/Data!L31,0)</f>
        <v>0.29451727212192474</v>
      </c>
      <c r="G9" s="353">
        <f>IFERROR(Data!M31-Data!L31,0)</f>
        <v>890.66090140513461</v>
      </c>
      <c r="H9" s="327">
        <f>IFERROR(Data!N31/Data!$N$42,0)</f>
        <v>9.1914636426264698E-3</v>
      </c>
      <c r="I9" s="326">
        <f>IFERROR((Data!N31-Data!M31)/Data!M31,0)</f>
        <v>0.45544741404588629</v>
      </c>
      <c r="J9" s="353">
        <f>IFERROR(Data!N31-Data!M31,0)</f>
        <v>1782.9850781011055</v>
      </c>
      <c r="K9" s="327">
        <f>IFERROR(Data!O31/Data!$O$42,0)</f>
        <v>9.7648502247719548E-3</v>
      </c>
      <c r="L9" s="326">
        <f>IFERROR((Data!O31-Data!N31)/Data!N31,0)</f>
        <v>0.17772309109283063</v>
      </c>
      <c r="M9" s="353">
        <f>IFERROR(Data!O31-Data!N31,0)</f>
        <v>1012.627797585259</v>
      </c>
      <c r="N9" s="327">
        <f>IFERROR(Data!P31/Data!$P$42,0)</f>
        <v>5.7758832976823491E-3</v>
      </c>
      <c r="O9" s="326">
        <f>IFERROR((Data!P31-Data!O31)/Data!O31,0)</f>
        <v>-0.38738113053088857</v>
      </c>
      <c r="P9" s="353">
        <f>IFERROR(Data!P31-Data!O31,0)</f>
        <v>-2599.4869362150866</v>
      </c>
      <c r="Q9" s="327">
        <f>IFERROR(Data!Q31/Data!$Q$42,0)</f>
        <v>2.9394974048858207E-3</v>
      </c>
      <c r="R9" s="326">
        <f>IFERROR((Data!Q31-Data!P31)/Data!P31,0)</f>
        <v>-0.53710767286731176</v>
      </c>
      <c r="S9" s="353">
        <f>IFERROR(Data!Q31-Data!P31,0)</f>
        <v>-2208.0093240828796</v>
      </c>
      <c r="T9" s="327">
        <f>IFERROR(Data!R31/Data!$R$42,0)</f>
        <v>5.283551486371516E-3</v>
      </c>
      <c r="U9" s="326">
        <f>IFERROR((Data!R31-Data!Q31)/Data!Q31,0)</f>
        <v>0.90406829331457039</v>
      </c>
      <c r="V9" s="353">
        <f>IFERROR(Data!R31-Data!Q31,0)</f>
        <v>1720.3656668535436</v>
      </c>
    </row>
    <row r="10" spans="1:25" ht="15.75" x14ac:dyDescent="0.25">
      <c r="A10" s="4"/>
      <c r="B10" s="206"/>
      <c r="C10" s="238" t="s">
        <v>29</v>
      </c>
      <c r="D10" s="328">
        <f>IFERROR(Data!L32/Data!$L$42,0)</f>
        <v>7.962724433126217E-2</v>
      </c>
      <c r="E10" s="331">
        <f>IFERROR(Data!M32/Data!$M$42,0)</f>
        <v>9.1019213383628617E-2</v>
      </c>
      <c r="F10" s="330">
        <f>IFERROR((Data!M32-Data!L32)/Data!L32,0)</f>
        <v>-6.4397602776157289E-2</v>
      </c>
      <c r="G10" s="354">
        <f>IFERROR(Data!M32-Data!L32,0)</f>
        <v>-5138.3928207575664</v>
      </c>
      <c r="H10" s="331">
        <f>IFERROR(Data!N32/Data!$N$42,0)</f>
        <v>7.6513236578388669E-2</v>
      </c>
      <c r="I10" s="330">
        <f>IFERROR((Data!N32-Data!M32)/Data!M32,0)</f>
        <v>-0.36465596140873657</v>
      </c>
      <c r="J10" s="354">
        <f>IFERROR(Data!N32-Data!M32,0)</f>
        <v>-27222.765683609083</v>
      </c>
      <c r="K10" s="331">
        <f>IFERROR(Data!O32/Data!$O$42,0)</f>
        <v>7.9528051636931468E-2</v>
      </c>
      <c r="L10" s="330">
        <f>IFERROR((Data!O32-Data!N32)/Data!N32,0)</f>
        <v>0.15224822243320135</v>
      </c>
      <c r="M10" s="354">
        <f>IFERROR(Data!O32-Data!N32,0)</f>
        <v>7221.2123675710682</v>
      </c>
      <c r="N10" s="331">
        <f>IFERROR(Data!P32/Data!$P$42,0)</f>
        <v>8.5891956563398875E-2</v>
      </c>
      <c r="O10" s="330">
        <f>IFERROR((Data!P32-Data!O32)/Data!O32,0)</f>
        <v>0.11858682358450233</v>
      </c>
      <c r="P10" s="354">
        <f>IFERROR(Data!P32-Data!O32,0)</f>
        <v>6480.9753514724434</v>
      </c>
      <c r="Q10" s="331">
        <f>IFERROR(Data!Q32/Data!$Q$42,0)</f>
        <v>8.0688823492782683E-2</v>
      </c>
      <c r="R10" s="330">
        <f>IFERROR((Data!Q32-Data!P32)/Data!P32,0)</f>
        <v>-0.14555089750395223</v>
      </c>
      <c r="S10" s="354">
        <f>IFERROR(Data!Q32-Data!P32,0)</f>
        <v>-8897.9204834688207</v>
      </c>
      <c r="T10" s="331">
        <f>IFERROR(Data!R32/Data!$R$42,0)</f>
        <v>8.7718345857702759E-2</v>
      </c>
      <c r="U10" s="330">
        <f>IFERROR((Data!R32-Data!Q32)/Data!Q32,0)</f>
        <v>0.15161339762625564</v>
      </c>
      <c r="V10" s="354">
        <f>IFERROR(Data!R32-Data!Q32,0)</f>
        <v>7919.4935755233164</v>
      </c>
    </row>
    <row r="11" spans="1:25" ht="15.75" x14ac:dyDescent="0.25">
      <c r="A11" s="4"/>
      <c r="B11" s="208"/>
      <c r="C11" s="238" t="s">
        <v>30</v>
      </c>
      <c r="D11" s="328">
        <f>IFERROR(Data!L33/Data!$L$42,0)</f>
        <v>-2.5719788958928616E-3</v>
      </c>
      <c r="E11" s="331">
        <f>IFERROR(Data!M33/Data!$M$42,0)</f>
        <v>-2.4160694865865084E-3</v>
      </c>
      <c r="F11" s="330">
        <f>IFERROR((Data!M33-Data!L33)/Data!L33,0)</f>
        <v>-0.23111399846939601</v>
      </c>
      <c r="G11" s="354">
        <f>IFERROR(Data!M33-Data!L33,0)</f>
        <v>595.64783421423817</v>
      </c>
      <c r="H11" s="331">
        <f>IFERROR(Data!N33/Data!$N$42,0)</f>
        <v>-2.4181053138389282E-3</v>
      </c>
      <c r="I11" s="330">
        <f>IFERROR((Data!N33-Data!M33)/Data!M33,0)</f>
        <v>-0.24356562808466875</v>
      </c>
      <c r="J11" s="354">
        <f>IFERROR(Data!N33-Data!M33,0)</f>
        <v>482.65995784649044</v>
      </c>
      <c r="K11" s="331">
        <f>IFERROR(Data!O33/Data!$O$42,0)</f>
        <v>-2.0154309462729557E-3</v>
      </c>
      <c r="L11" s="330">
        <f>IFERROR((Data!O33-Data!N33)/Data!N33,0)</f>
        <v>-7.6036131026763529E-2</v>
      </c>
      <c r="M11" s="354">
        <f>IFERROR(Data!O33-Data!N33,0)</f>
        <v>113.97681977518459</v>
      </c>
      <c r="N11" s="331">
        <f>IFERROR(Data!P33/Data!$P$42,0)</f>
        <v>-1.9008103752134707E-3</v>
      </c>
      <c r="O11" s="330">
        <f>IFERROR((Data!P33-Data!O33)/Data!O33,0)</f>
        <v>-2.3193777948222912E-2</v>
      </c>
      <c r="P11" s="354">
        <f>IFERROR(Data!P33-Data!O33,0)</f>
        <v>32.123511153298523</v>
      </c>
      <c r="Q11" s="331">
        <f>IFERROR(Data!Q33/Data!$Q$42,0)</f>
        <v>-1.9275003196655891E-3</v>
      </c>
      <c r="R11" s="330">
        <f>IFERROR((Data!Q33-Data!P33)/Data!P33,0)</f>
        <v>-7.7681381828441684E-2</v>
      </c>
      <c r="S11" s="354">
        <f>IFERROR(Data!Q33-Data!P33,0)</f>
        <v>105.09374612648094</v>
      </c>
      <c r="T11" s="331">
        <f>IFERROR(Data!R33/Data!$R$42,0)</f>
        <v>-5.6377461118685456E-4</v>
      </c>
      <c r="U11" s="330">
        <f>IFERROR((Data!R33-Data!Q33)/Data!Q33,0)</f>
        <v>-0.69015769569669361</v>
      </c>
      <c r="V11" s="354">
        <f>IFERROR(Data!R33-Data!Q33,0)</f>
        <v>861.17069191479106</v>
      </c>
    </row>
    <row r="12" spans="1:25" ht="15.75" x14ac:dyDescent="0.25">
      <c r="A12" s="4"/>
      <c r="B12" s="206"/>
      <c r="C12" s="238" t="s">
        <v>31</v>
      </c>
      <c r="D12" s="328">
        <f>IFERROR(Data!L34/Data!$L$42,0)</f>
        <v>2.1167293088026833E-2</v>
      </c>
      <c r="E12" s="331">
        <f>IFERROR(Data!M34/Data!$M$42,0)</f>
        <v>2.3662294537267401E-2</v>
      </c>
      <c r="F12" s="330">
        <f>IFERROR((Data!M34-Data!L34)/Data!L34,0)</f>
        <v>-8.5020282534681482E-2</v>
      </c>
      <c r="G12" s="354">
        <f>IFERROR(Data!M34-Data!L34,0)</f>
        <v>-1803.3656042268558</v>
      </c>
      <c r="H12" s="331">
        <f>IFERROR(Data!N34/Data!$N$42,0)</f>
        <v>2.7871980249493562E-2</v>
      </c>
      <c r="I12" s="330">
        <f>IFERROR((Data!N34-Data!M34)/Data!M34,0)</f>
        <v>-0.10974087581103889</v>
      </c>
      <c r="J12" s="354">
        <f>IFERROR(Data!N34-Data!M34,0)</f>
        <v>-2129.8113011954883</v>
      </c>
      <c r="K12" s="331">
        <f>IFERROR(Data!O34/Data!$O$42,0)</f>
        <v>3.1143160579800103E-2</v>
      </c>
      <c r="L12" s="330">
        <f>IFERROR((Data!O34-Data!N34)/Data!N34,0)</f>
        <v>0.23867432845362524</v>
      </c>
      <c r="M12" s="354">
        <f>IFERROR(Data!O34-Data!N34,0)</f>
        <v>4123.7739229560757</v>
      </c>
      <c r="N12" s="331">
        <f>IFERROR(Data!P34/Data!$P$42,0)</f>
        <v>2.789769995823585E-2</v>
      </c>
      <c r="O12" s="330">
        <f>IFERROR((Data!P34-Data!O34)/Data!O34,0)</f>
        <v>-7.2223730027393976E-2</v>
      </c>
      <c r="P12" s="354">
        <f>IFERROR(Data!P34-Data!O34,0)</f>
        <v>-1545.703497625309</v>
      </c>
      <c r="Q12" s="331">
        <f>IFERROR(Data!Q34/Data!$Q$42,0)</f>
        <v>3.2185690294667502E-2</v>
      </c>
      <c r="R12" s="330">
        <f>IFERROR((Data!Q34-Data!P34)/Data!P34,0)</f>
        <v>4.9348484125523423E-2</v>
      </c>
      <c r="S12" s="354">
        <f>IFERROR(Data!Q34-Data!P34,0)</f>
        <v>979.85847333688434</v>
      </c>
      <c r="T12" s="331">
        <f>IFERROR(Data!R34/Data!$R$42,0)</f>
        <v>3.1906439222694087E-2</v>
      </c>
      <c r="U12" s="330">
        <f>IFERROR((Data!R34-Data!Q34)/Data!Q34,0)</f>
        <v>5.013508830804897E-2</v>
      </c>
      <c r="V12" s="354">
        <f>IFERROR(Data!R34-Data!Q34,0)</f>
        <v>1044.6024969386272</v>
      </c>
    </row>
    <row r="13" spans="1:25" ht="16.5" thickBot="1" x14ac:dyDescent="0.3">
      <c r="A13" s="4"/>
      <c r="B13" s="208"/>
      <c r="C13" s="243" t="s">
        <v>32</v>
      </c>
      <c r="D13" s="349">
        <f>IFERROR(Data!L35/Data!$L$42,0)</f>
        <v>0.11152734423757088</v>
      </c>
      <c r="E13" s="334">
        <f>IFERROR(Data!M35/Data!$M$42,0)</f>
        <v>0.11798634036563627</v>
      </c>
      <c r="F13" s="333">
        <f>IFERROR((Data!M35-Data!L35)/Data!L35,0)</f>
        <v>-0.13409488645744561</v>
      </c>
      <c r="G13" s="355">
        <f>IFERROR(Data!M35-Data!L35,0)</f>
        <v>-14986.129892088778</v>
      </c>
      <c r="H13" s="334">
        <f>IFERROR(Data!N35/Data!$N$42,0)</f>
        <v>0.15525762476598776</v>
      </c>
      <c r="I13" s="333">
        <f>IFERROR((Data!N35-Data!M35)/Data!M35,0)</f>
        <v>-5.4498873739682197E-3</v>
      </c>
      <c r="J13" s="355">
        <f>IFERROR(Data!N35-Data!M35,0)</f>
        <v>-527.39390610328701</v>
      </c>
      <c r="K13" s="334">
        <f>IFERROR(Data!O35/Data!$O$42,0)</f>
        <v>0.15551261099176078</v>
      </c>
      <c r="L13" s="333">
        <f>IFERROR((Data!O35-Data!N35)/Data!N35,0)</f>
        <v>0.11038849355150387</v>
      </c>
      <c r="M13" s="355">
        <f>IFERROR(Data!O35-Data!N35,0)</f>
        <v>10624.244519981061</v>
      </c>
      <c r="N13" s="334">
        <f>IFERROR(Data!P35/Data!$P$42,0)</f>
        <v>0.16160984560447608</v>
      </c>
      <c r="O13" s="333">
        <f>IFERROR((Data!P35-Data!O35)/Data!O35,0)</f>
        <v>7.6315881484554829E-2</v>
      </c>
      <c r="P13" s="355">
        <f>IFERROR(Data!P35-Data!O35,0)</f>
        <v>8155.7542016217922</v>
      </c>
      <c r="Q13" s="334">
        <f>IFERROR(Data!Q35/Data!$Q$42,0)</f>
        <v>0.16403384224728948</v>
      </c>
      <c r="R13" s="333">
        <f>IFERROR((Data!Q35-Data!P35)/Data!P35,0)</f>
        <v>-7.681029466300833E-2</v>
      </c>
      <c r="S13" s="355">
        <f>IFERROR(Data!Q35-Data!P35,0)</f>
        <v>-8835.0372177525715</v>
      </c>
      <c r="T13" s="334">
        <f>IFERROR(Data!R35/Data!$R$42,0)</f>
        <v>0.16408155019774384</v>
      </c>
      <c r="U13" s="333">
        <f>IFERROR((Data!R35-Data!Q35)/Data!Q35,0)</f>
        <v>5.9634161949289742E-2</v>
      </c>
      <c r="V13" s="355">
        <f>IFERROR(Data!R35-Data!Q35,0)</f>
        <v>6332.4974778849137</v>
      </c>
    </row>
    <row r="14" spans="1:25" ht="17.25" thickTop="1" thickBot="1" x14ac:dyDescent="0.3">
      <c r="A14" s="4"/>
      <c r="B14" s="206"/>
      <c r="C14" s="270" t="s">
        <v>33</v>
      </c>
      <c r="D14" s="335">
        <f>IFERROR(Data!L36/Data!$L$42,0)</f>
        <v>0.21276780872680828</v>
      </c>
      <c r="E14" s="338">
        <f>IFERROR(Data!M36/Data!$M$42,0)</f>
        <v>0.23502480280571866</v>
      </c>
      <c r="F14" s="337">
        <f>IFERROR((Data!M36-Data!L36)/Data!L36,0)</f>
        <v>-9.5876598131837534E-2</v>
      </c>
      <c r="G14" s="252">
        <f>IFERROR(Data!M36-Data!L36,0)</f>
        <v>-20441.579581453843</v>
      </c>
      <c r="H14" s="338">
        <f>IFERROR(Data!N36/Data!$N$42,0)</f>
        <v>0.26641619992265753</v>
      </c>
      <c r="I14" s="337">
        <f>IFERROR((Data!N36-Data!M36)/Data!M36,0)</f>
        <v>-0.14325338701029999</v>
      </c>
      <c r="J14" s="252">
        <f>IFERROR(Data!N36-Data!M36,0)</f>
        <v>-27614.325854960247</v>
      </c>
      <c r="K14" s="338">
        <f>IFERROR(Data!O36/Data!$O$42,0)</f>
        <v>0.27393324248699136</v>
      </c>
      <c r="L14" s="337">
        <f>IFERROR((Data!O36-Data!N36)/Data!N36,0)</f>
        <v>0.139846542568447</v>
      </c>
      <c r="M14" s="252">
        <f>IFERROR(Data!O36-Data!N36,0)</f>
        <v>23095.835427868646</v>
      </c>
      <c r="N14" s="338">
        <f>IFERROR(Data!P36/Data!$P$42,0)</f>
        <v>0.27927457504857967</v>
      </c>
      <c r="O14" s="337">
        <f>IFERROR((Data!P36-Data!O36)/Data!O36,0)</f>
        <v>5.5903447119608776E-2</v>
      </c>
      <c r="P14" s="252">
        <f>IFERROR(Data!P36-Data!O36,0)</f>
        <v>10523.66263040714</v>
      </c>
      <c r="Q14" s="338">
        <f>IFERROR(Data!Q36/Data!$Q$42,0)</f>
        <v>0.27792035311995994</v>
      </c>
      <c r="R14" s="337">
        <f>IFERROR((Data!Q36-Data!P36)/Data!P36,0)</f>
        <v>-9.486311340583424E-2</v>
      </c>
      <c r="S14" s="252">
        <f>IFERROR(Data!Q36-Data!P36,0)</f>
        <v>-18856.01480584091</v>
      </c>
      <c r="T14" s="338">
        <f>IFERROR(Data!R36/Data!$R$42,0)</f>
        <v>0.28842611215332531</v>
      </c>
      <c r="U14" s="337">
        <f>IFERROR((Data!R36-Data!Q36)/Data!Q36,0)</f>
        <v>9.9369999678706966E-2</v>
      </c>
      <c r="V14" s="252">
        <f>IFERROR(Data!R36-Data!Q36,0)</f>
        <v>17878.129909115174</v>
      </c>
    </row>
    <row r="15" spans="1:25" ht="15.75" x14ac:dyDescent="0.25">
      <c r="A15" s="4"/>
      <c r="B15" s="208"/>
      <c r="C15" s="233" t="s">
        <v>34</v>
      </c>
      <c r="D15" s="324">
        <f>IFERROR(Data!L37/Data!$L$42,0)</f>
        <v>0.21244462813255999</v>
      </c>
      <c r="E15" s="327">
        <f>IFERROR(Data!M37/Data!$M$42,0)</f>
        <v>0.20709756721524678</v>
      </c>
      <c r="F15" s="326">
        <f>IFERROR((Data!M37-Data!L37)/Data!L37,0)</f>
        <v>-0.20209869098252048</v>
      </c>
      <c r="G15" s="353">
        <f>IFERROR(Data!M37-Data!L37,0)</f>
        <v>-43023.44371538749</v>
      </c>
      <c r="H15" s="327">
        <f>IFERROR(Data!N37/Data!$N$42,0)</f>
        <v>0.53101613179980078</v>
      </c>
      <c r="I15" s="326">
        <f>IFERROR((Data!N37-Data!M37)/Data!M37,0)</f>
        <v>0.93793042599665299</v>
      </c>
      <c r="J15" s="353">
        <f>IFERROR(Data!N37-Data!M37,0)</f>
        <v>159316.76195539229</v>
      </c>
      <c r="K15" s="327">
        <f>IFERROR(Data!O37/Data!$O$42,0)</f>
        <v>0.51541348825705957</v>
      </c>
      <c r="L15" s="326">
        <f>IFERROR((Data!O37-Data!N37)/Data!N37,0)</f>
        <v>7.5995220998614263E-2</v>
      </c>
      <c r="M15" s="353">
        <f>IFERROR(Data!O37-Data!N37,0)</f>
        <v>25015.852653410053</v>
      </c>
      <c r="N15" s="327">
        <f>IFERROR(Data!P37/Data!$P$42,0)</f>
        <v>0.50073852392210116</v>
      </c>
      <c r="O15" s="326">
        <f>IFERROR((Data!P37-Data!O37)/Data!O37,0)</f>
        <v>6.2195967948024443E-3</v>
      </c>
      <c r="P15" s="353">
        <f>IFERROR(Data!P37-Data!O37,0)</f>
        <v>2202.934586088988</v>
      </c>
      <c r="Q15" s="327">
        <f>IFERROR(Data!Q37/Data!$Q$42,0)</f>
        <v>0.49552634543562696</v>
      </c>
      <c r="R15" s="326">
        <f>IFERROR((Data!Q37-Data!P37)/Data!P37,0)</f>
        <v>-9.9920117090170887E-2</v>
      </c>
      <c r="S15" s="353">
        <f>IFERROR(Data!Q37-Data!P37,0)</f>
        <v>-35611.074330939446</v>
      </c>
      <c r="T15" s="327">
        <f>IFERROR(Data!R37/Data!$R$42,0)</f>
        <v>0.47544532409698165</v>
      </c>
      <c r="U15" s="326">
        <f>IFERROR((Data!R37-Data!Q37)/Data!Q37,0)</f>
        <v>1.6397269459359237E-2</v>
      </c>
      <c r="V15" s="353">
        <f>IFERROR(Data!R37-Data!Q37,0)</f>
        <v>5259.9877209104598</v>
      </c>
    </row>
    <row r="16" spans="1:25" ht="15.75" x14ac:dyDescent="0.25">
      <c r="A16" s="4"/>
      <c r="B16" s="206"/>
      <c r="C16" s="238" t="s">
        <v>35</v>
      </c>
      <c r="D16" s="328">
        <f>IFERROR(Data!L38/Data!$L$42,0)</f>
        <v>1.1013518167773198E-2</v>
      </c>
      <c r="E16" s="331">
        <f>IFERROR(Data!M38/Data!$M$42,0)</f>
        <v>1.4835308758493955E-2</v>
      </c>
      <c r="F16" s="330">
        <f>IFERROR((Data!M38-Data!L38)/Data!L38,0)</f>
        <v>0.10253009071907511</v>
      </c>
      <c r="G16" s="354">
        <f>IFERROR(Data!M38-Data!L38,0)</f>
        <v>1131.5489063078385</v>
      </c>
      <c r="H16" s="331">
        <f>IFERROR(Data!N38/Data!$N$42,0)</f>
        <v>1.3728548342898706E-2</v>
      </c>
      <c r="I16" s="330">
        <f>IFERROR((Data!N38-Data!M38)/Data!M38,0)</f>
        <v>-0.30058733594846321</v>
      </c>
      <c r="J16" s="354">
        <f>IFERROR(Data!N38-Data!M38,0)</f>
        <v>-3657.4897539752856</v>
      </c>
      <c r="K16" s="331">
        <f>IFERROR(Data!O38/Data!$O$42,0)</f>
        <v>1.7268887390948021E-2</v>
      </c>
      <c r="L16" s="330">
        <f>IFERROR((Data!O38-Data!N38)/Data!N38,0)</f>
        <v>0.39444701702530671</v>
      </c>
      <c r="M16" s="354">
        <f>IFERROR(Data!O38-Data!N38,0)</f>
        <v>3356.8706472293106</v>
      </c>
      <c r="N16" s="331">
        <f>IFERROR(Data!P38/Data!$P$42,0)</f>
        <v>2.0958823936556157E-2</v>
      </c>
      <c r="O16" s="330">
        <f>IFERROR((Data!P38-Data!O38)/Data!O38,0)</f>
        <v>0.25701395206711364</v>
      </c>
      <c r="P16" s="354">
        <f>IFERROR(Data!P38-Data!O38,0)</f>
        <v>3050.0337697111408</v>
      </c>
      <c r="Q16" s="331">
        <f>IFERROR(Data!Q38/Data!$Q$42,0)</f>
        <v>7.1937829439750987E-3</v>
      </c>
      <c r="R16" s="330">
        <f>IFERROR((Data!Q38-Data!P38)/Data!P38,0)</f>
        <v>-0.68781234106326383</v>
      </c>
      <c r="S16" s="354">
        <f>IFERROR(Data!Q38-Data!P38,0)</f>
        <v>-10260.251587717514</v>
      </c>
      <c r="T16" s="331">
        <f>IFERROR(Data!R38/Data!$R$42,0)</f>
        <v>1.5221024565800106E-2</v>
      </c>
      <c r="U16" s="330">
        <f>IFERROR((Data!R38-Data!Q38)/Data!Q38,0)</f>
        <v>1.241383732155569</v>
      </c>
      <c r="V16" s="354">
        <f>IFERROR(Data!R38-Data!Q38,0)</f>
        <v>5781.0912846964775</v>
      </c>
    </row>
    <row r="17" spans="1:25" ht="15.75" x14ac:dyDescent="0.25">
      <c r="A17" s="4"/>
      <c r="B17" s="208"/>
      <c r="C17" s="238" t="s">
        <v>36</v>
      </c>
      <c r="D17" s="328">
        <f>IFERROR(Data!L39/Data!$L$42,0)</f>
        <v>0.56107362250745674</v>
      </c>
      <c r="E17" s="331">
        <f>IFERROR(Data!M39/Data!$M$42,0)</f>
        <v>0.54066600145341281</v>
      </c>
      <c r="F17" s="330">
        <f>IFERROR((Data!M39-Data!L39)/Data!L39,0)</f>
        <v>-0.21126857732988724</v>
      </c>
      <c r="G17" s="354">
        <f>IFERROR(Data!M39-Data!L39,0)</f>
        <v>-118782.01128510426</v>
      </c>
      <c r="H17" s="331">
        <f>IFERROR(Data!N39/Data!$N$42,0)</f>
        <v>0</v>
      </c>
      <c r="I17" s="330">
        <f>IFERROR((Data!N39-Data!M39)/Data!M39,0)</f>
        <v>-1</v>
      </c>
      <c r="J17" s="354">
        <f>IFERROR(Data!N39-Data!M39,0)</f>
        <v>-443450.25622162962</v>
      </c>
      <c r="K17" s="331">
        <f>IFERROR(Data!O39/Data!$O$42,0)</f>
        <v>3.8116668040677173E-4</v>
      </c>
      <c r="L17" s="330">
        <f>IFERROR((Data!O39-Data!N39)/Data!N39,0)</f>
        <v>0</v>
      </c>
      <c r="M17" s="354">
        <f>IFERROR(Data!O39-Data!N39,0)</f>
        <v>261.9380080047722</v>
      </c>
      <c r="N17" s="331">
        <f>IFERROR(Data!P39/Data!$P$42,0)</f>
        <v>3.0322563330133142E-4</v>
      </c>
      <c r="O17" s="330">
        <f>IFERROR((Data!P39-Data!O39)/Data!O39,0)</f>
        <v>-0.17607339227363578</v>
      </c>
      <c r="P17" s="354">
        <f>IFERROR(Data!P39-Data!O39,0)</f>
        <v>-46.120313634799004</v>
      </c>
      <c r="Q17" s="331">
        <f>IFERROR(Data!Q39/Data!$Q$42,0)</f>
        <v>2.7298728325128186E-3</v>
      </c>
      <c r="R17" s="330">
        <f>IFERROR((Data!Q39-Data!P39)/Data!P39,0)</f>
        <v>7.1884521456261083</v>
      </c>
      <c r="S17" s="354">
        <f>IFERROR(Data!Q39-Data!P39,0)</f>
        <v>1551.3951681579135</v>
      </c>
      <c r="T17" s="331">
        <f>IFERROR(Data!R39/Data!$R$42,0)</f>
        <v>3.5343817968880708E-3</v>
      </c>
      <c r="U17" s="330">
        <f>IFERROR((Data!R39-Data!Q39)/Data!Q39,0)</f>
        <v>0.371515448489313</v>
      </c>
      <c r="V17" s="354">
        <f>IFERROR(Data!R39-Data!Q39,0)</f>
        <v>656.54687919813045</v>
      </c>
    </row>
    <row r="18" spans="1:25" ht="15.75" x14ac:dyDescent="0.25">
      <c r="A18" s="4"/>
      <c r="B18" s="206"/>
      <c r="C18" s="238" t="s">
        <v>37</v>
      </c>
      <c r="D18" s="328">
        <f>IFERROR(Data!L40/Data!$L$42,0)</f>
        <v>7.0902922039414566E-4</v>
      </c>
      <c r="E18" s="331">
        <f>IFERROR(Data!M40/Data!$M$42,0)</f>
        <v>7.4148515144133501E-4</v>
      </c>
      <c r="F18" s="330">
        <f>IFERROR((Data!M40-Data!L40)/Data!L40,0)</f>
        <v>-0.14403056090137881</v>
      </c>
      <c r="G18" s="354">
        <f>IFERROR(Data!M40-Data!L40,0)</f>
        <v>-102.33276307405822</v>
      </c>
      <c r="H18" s="331">
        <f>IFERROR(Data!N40/Data!$N$42,0)</f>
        <v>3.5642595736943339E-2</v>
      </c>
      <c r="I18" s="330">
        <f>IFERROR((Data!N40-Data!M40)/Data!M40,0)</f>
        <v>35.330579904367703</v>
      </c>
      <c r="J18" s="354">
        <f>IFERROR(Data!N40-Data!M40,0)</f>
        <v>21486.668015705596</v>
      </c>
      <c r="K18" s="331">
        <f>IFERROR(Data!O40/Data!$O$42,0)</f>
        <v>3.2220223171636544E-2</v>
      </c>
      <c r="L18" s="330">
        <f>IFERROR((Data!O40-Data!N40)/Data!N40,0)</f>
        <v>2.1240775632821204E-3</v>
      </c>
      <c r="M18" s="354">
        <f>IFERROR(Data!O40-Data!N40,0)</f>
        <v>46.931129807908292</v>
      </c>
      <c r="N18" s="331">
        <f>IFERROR(Data!P40/Data!$P$42,0)</f>
        <v>3.4185865071185047E-2</v>
      </c>
      <c r="O18" s="330">
        <f>IFERROR((Data!P40-Data!O40)/Data!O40,0)</f>
        <v>9.8893428266074765E-2</v>
      </c>
      <c r="P18" s="354">
        <f>IFERROR(Data!P40-Data!O40,0)</f>
        <v>2189.6745328359866</v>
      </c>
      <c r="Q18" s="331">
        <f>IFERROR(Data!Q40/Data!$Q$42,0)</f>
        <v>3.7822737468752386E-2</v>
      </c>
      <c r="R18" s="330">
        <f>IFERROR((Data!Q40-Data!P40)/Data!P40,0)</f>
        <v>6.3097827780229307E-3</v>
      </c>
      <c r="S18" s="354">
        <f>IFERROR(Data!Q40-Data!P40,0)</f>
        <v>153.5260652139259</v>
      </c>
      <c r="T18" s="331">
        <f>IFERROR(Data!R40/Data!$R$42,0)</f>
        <v>3.886618562646172E-2</v>
      </c>
      <c r="U18" s="330">
        <f>IFERROR((Data!R40-Data!Q40)/Data!Q40,0)</f>
        <v>8.8550598097852345E-2</v>
      </c>
      <c r="V18" s="354">
        <f>IFERROR(Data!R40-Data!Q40,0)</f>
        <v>2168.1578861900489</v>
      </c>
    </row>
    <row r="19" spans="1:25" ht="16.5" thickBot="1" x14ac:dyDescent="0.3">
      <c r="A19" s="4"/>
      <c r="B19" s="206"/>
      <c r="C19" s="243" t="s">
        <v>38</v>
      </c>
      <c r="D19" s="349">
        <f>IFERROR(Data!L41/Data!$L$42,0)</f>
        <v>1.9913932450076623E-3</v>
      </c>
      <c r="E19" s="334">
        <f>IFERROR(Data!M41/Data!$M$42,0)</f>
        <v>1.6348346156864625E-3</v>
      </c>
      <c r="F19" s="333">
        <f>IFERROR((Data!M41-Data!L41)/Data!L41,0)</f>
        <v>-0.32805035394737697</v>
      </c>
      <c r="G19" s="355">
        <f>IFERROR(Data!M41-Data!L41,0)</f>
        <v>-654.62630897778445</v>
      </c>
      <c r="H19" s="334">
        <f>IFERROR(Data!N41/Data!$N$42,0)</f>
        <v>0.15319652419769972</v>
      </c>
      <c r="I19" s="333">
        <f>IFERROR((Data!N41-Data!M41)/Data!M41,0)</f>
        <v>69.824016255531632</v>
      </c>
      <c r="J19" s="355">
        <f>IFERROR(Data!N41-Data!M41,0)</f>
        <v>93625.575410976773</v>
      </c>
      <c r="K19" s="334">
        <f>IFERROR(Data!O41/Data!$O$42,0)</f>
        <v>0.1607829920129577</v>
      </c>
      <c r="L19" s="333">
        <f>IFERROR((Data!O41-Data!N41)/Data!N41,0)</f>
        <v>0.16346539806990773</v>
      </c>
      <c r="M19" s="355">
        <f>IFERROR(Data!O41-Data!N41,0)</f>
        <v>15523.729316463083</v>
      </c>
      <c r="N19" s="334">
        <f>IFERROR(Data!P41/Data!$P$42,0)</f>
        <v>0.16453898638827666</v>
      </c>
      <c r="O19" s="333">
        <f>IFERROR((Data!P41-Data!O41)/Data!O41,0)</f>
        <v>5.9903332407681288E-2</v>
      </c>
      <c r="P19" s="355">
        <f>IFERROR(Data!P41-Data!O41,0)</f>
        <v>6618.7302193262003</v>
      </c>
      <c r="Q19" s="334">
        <f>IFERROR(Data!Q41/Data!$Q$42,0)</f>
        <v>0.1788069081991728</v>
      </c>
      <c r="R19" s="333">
        <f>IFERROR((Data!Q41-Data!P41)/Data!P41,0)</f>
        <v>-1.1581679026822044E-2</v>
      </c>
      <c r="S19" s="355">
        <f>IFERROR(Data!Q41-Data!P41,0)</f>
        <v>-1356.3178555496124</v>
      </c>
      <c r="T19" s="334">
        <f>IFERROR(Data!R41/Data!$R$42,0)</f>
        <v>0.17850697176054309</v>
      </c>
      <c r="U19" s="333">
        <f>IFERROR((Data!R41-Data!Q41)/Data!Q41,0)</f>
        <v>5.7549117816854151E-2</v>
      </c>
      <c r="V19" s="355">
        <f>IFERROR(Data!R41-Data!Q41,0)</f>
        <v>6661.4598051581124</v>
      </c>
    </row>
    <row r="20" spans="1:25" ht="17.25" thickTop="1" thickBot="1" x14ac:dyDescent="0.3">
      <c r="A20" s="4"/>
      <c r="B20" s="206"/>
      <c r="C20" s="270" t="s">
        <v>39</v>
      </c>
      <c r="D20" s="335">
        <f>IFERROR(Data!L42/Data!$L$42,0)</f>
        <v>1</v>
      </c>
      <c r="E20" s="338">
        <f>IFERROR(Data!M42/Data!$M$42,0)</f>
        <v>1</v>
      </c>
      <c r="F20" s="337">
        <f>IFERROR((Data!M42-Data!L42)/Data!L42,0)</f>
        <v>-0.18149764306733127</v>
      </c>
      <c r="G20" s="252">
        <f>IFERROR(Data!M42-Data!L42,0)</f>
        <v>-181872.44474768965</v>
      </c>
      <c r="H20" s="338">
        <f>IFERROR(Data!N42/Data!$N$42,0)</f>
        <v>1</v>
      </c>
      <c r="I20" s="337">
        <f>IFERROR((Data!N42-Data!M42)/Data!M42,0)</f>
        <v>-0.24420247781168397</v>
      </c>
      <c r="J20" s="252">
        <f>IFERROR(Data!N42-Data!M42,0)</f>
        <v>-200293.06644849048</v>
      </c>
      <c r="K20" s="338">
        <f>IFERROR(Data!O42/Data!$O$42,0)</f>
        <v>1</v>
      </c>
      <c r="L20" s="337">
        <f>IFERROR((Data!O42-Data!N42)/Data!N42,0)</f>
        <v>0.10856784524969186</v>
      </c>
      <c r="M20" s="252">
        <f>IFERROR(Data!O42-Data!N42,0)</f>
        <v>67301.15718278382</v>
      </c>
      <c r="N20" s="338">
        <f>IFERROR(Data!P42/Data!$P$42,0)</f>
        <v>1</v>
      </c>
      <c r="O20" s="337">
        <f>IFERROR((Data!P42-Data!O42)/Data!O42,0)</f>
        <v>3.5708513645939466E-2</v>
      </c>
      <c r="P20" s="252">
        <f>IFERROR(Data!P42-Data!O42,0)</f>
        <v>24538.915424734587</v>
      </c>
      <c r="Q20" s="338">
        <f>IFERROR(Data!Q42/Data!$Q$42,0)</f>
        <v>1</v>
      </c>
      <c r="R20" s="337">
        <f>IFERROR((Data!Q42-Data!P42)/Data!P42,0)</f>
        <v>-9.0452654774546559E-2</v>
      </c>
      <c r="S20" s="252">
        <f>IFERROR(Data!Q42-Data!P42,0)</f>
        <v>-64378.737346675596</v>
      </c>
      <c r="T20" s="338">
        <f>IFERROR(Data!R42/Data!$R$42,0)</f>
        <v>1</v>
      </c>
      <c r="U20" s="337">
        <f>IFERROR((Data!R42-Data!Q42)/Data!Q42,0)</f>
        <v>5.9326065310532479E-2</v>
      </c>
      <c r="V20" s="252">
        <f>IFERROR(Data!R42-Data!Q42,0)</f>
        <v>38405.373485268443</v>
      </c>
    </row>
    <row r="21" spans="1:25" ht="16.5" thickBot="1" x14ac:dyDescent="0.3">
      <c r="A21" s="4"/>
      <c r="B21" s="206"/>
      <c r="C21" s="273"/>
      <c r="D21" s="373"/>
      <c r="E21" s="383"/>
      <c r="F21" s="397"/>
      <c r="G21" s="356"/>
      <c r="H21" s="373"/>
      <c r="I21" s="373"/>
      <c r="J21" s="274"/>
      <c r="K21" s="373"/>
      <c r="L21" s="373"/>
      <c r="M21" s="274"/>
      <c r="N21" s="373"/>
      <c r="O21" s="383"/>
      <c r="P21" s="274"/>
      <c r="Q21" s="373"/>
      <c r="R21" s="373"/>
      <c r="S21" s="274"/>
      <c r="T21" s="397"/>
      <c r="U21" s="397"/>
      <c r="V21" s="357"/>
      <c r="Y21" s="209"/>
    </row>
    <row r="22" spans="1:25" ht="16.5" thickBot="1" x14ac:dyDescent="0.3">
      <c r="A22" s="4"/>
      <c r="B22" s="206"/>
      <c r="C22" s="460" t="s">
        <v>40</v>
      </c>
      <c r="D22" s="374"/>
      <c r="E22" s="374"/>
      <c r="F22" s="374"/>
      <c r="G22" s="275"/>
      <c r="H22" s="374"/>
      <c r="I22" s="374"/>
      <c r="J22" s="275"/>
      <c r="K22" s="374"/>
      <c r="L22" s="374"/>
      <c r="M22" s="275"/>
      <c r="N22" s="374"/>
      <c r="O22" s="374"/>
      <c r="P22" s="275"/>
      <c r="Q22" s="374"/>
      <c r="R22" s="374"/>
      <c r="S22" s="275"/>
      <c r="T22" s="374"/>
      <c r="U22" s="374"/>
      <c r="V22" s="275"/>
      <c r="Y22" s="209"/>
    </row>
    <row r="23" spans="1:25" ht="15.75" x14ac:dyDescent="0.25">
      <c r="A23" s="4"/>
      <c r="B23" s="206"/>
      <c r="C23" s="233" t="s">
        <v>41</v>
      </c>
      <c r="D23" s="375">
        <f>IFERROR(Data!L45/Data!$L$42,0)</f>
        <v>5.2587283361533947E-2</v>
      </c>
      <c r="E23" s="384">
        <f>IFERROR(Data!M45/Data!$M$42,0)</f>
        <v>6.9532451569043738E-2</v>
      </c>
      <c r="F23" s="398">
        <f>IFERROR((Data!M45-Data!L45)/Data!L45,0)</f>
        <v>8.224787162515311E-2</v>
      </c>
      <c r="G23" s="358">
        <f>IFERROR(Data!M45-Data!L45,0)</f>
        <v>4334.1238683908523</v>
      </c>
      <c r="H23" s="391">
        <f>IFERROR(Data!N45/Data!$N$42,0)</f>
        <v>7.2434572605904163E-2</v>
      </c>
      <c r="I23" s="398">
        <f>IFERROR((Data!N45-Data!M45)/Data!M45,0)</f>
        <v>-0.2126572663420194</v>
      </c>
      <c r="J23" s="358">
        <f>IFERROR(Data!N45-Data!M45,0)</f>
        <v>-12127.844450581331</v>
      </c>
      <c r="K23" s="384">
        <f>IFERROR(Data!O45/Data!$O$42,0)</f>
        <v>5.6969870374231964E-2</v>
      </c>
      <c r="L23" s="398">
        <f>IFERROR((Data!O45-Data!N45)/Data!N45,0)</f>
        <v>-0.12811018036201122</v>
      </c>
      <c r="M23" s="358">
        <f>IFERROR(Data!O45-Data!N45,0)</f>
        <v>-5752.4235780734234</v>
      </c>
      <c r="N23" s="384">
        <f>IFERROR(Data!P45/Data!$P$42,0)</f>
        <v>6.0167687541993697E-2</v>
      </c>
      <c r="O23" s="398">
        <f>IFERROR((Data!P45-Data!O45)/Data!O45,0)</f>
        <v>9.3844620398115405E-2</v>
      </c>
      <c r="P23" s="358">
        <f>IFERROR(Data!P45-Data!O45,0)</f>
        <v>3673.9919787348335</v>
      </c>
      <c r="Q23" s="384">
        <f>IFERROR(Data!Q45/Data!$Q$42,0)</f>
        <v>6.8594769082609669E-2</v>
      </c>
      <c r="R23" s="398">
        <f>IFERROR((Data!Q45-Data!P45)/Data!P45,0)</f>
        <v>3.6938474191745486E-2</v>
      </c>
      <c r="S23" s="358">
        <f>IFERROR(Data!Q45-Data!P45,0)</f>
        <v>1581.8431176495942</v>
      </c>
      <c r="T23" s="384">
        <f>IFERROR(Data!R45/Data!$R$42,0)</f>
        <v>7.7141453586265077E-2</v>
      </c>
      <c r="U23" s="398">
        <f>IFERROR((Data!R45-Data!Q45)/Data!Q45,0)</f>
        <v>0.19131463802231255</v>
      </c>
      <c r="V23" s="358">
        <f>IFERROR(Data!R45-Data!Q45,0)</f>
        <v>8495.4354855253041</v>
      </c>
    </row>
    <row r="24" spans="1:25" ht="15.75" x14ac:dyDescent="0.25">
      <c r="A24" s="4"/>
      <c r="B24" s="208"/>
      <c r="C24" s="238" t="s">
        <v>42</v>
      </c>
      <c r="D24" s="376">
        <f>IFERROR(Data!L46/Data!$L$42,0)</f>
        <v>4.7521531130215365E-2</v>
      </c>
      <c r="E24" s="385">
        <f>IFERROR(Data!M46/Data!$M$42,0)</f>
        <v>3.9898526100786945E-2</v>
      </c>
      <c r="F24" s="399">
        <f>IFERROR((Data!M46-Data!L46)/Data!L46,0)</f>
        <v>-0.31279491895686073</v>
      </c>
      <c r="G24" s="359">
        <f>IFERROR(Data!M46-Data!L46,0)</f>
        <v>-14895.189398590825</v>
      </c>
      <c r="H24" s="392">
        <f>IFERROR(Data!N46/Data!$N$42,0)</f>
        <v>6.3574503612304115E-2</v>
      </c>
      <c r="I24" s="399">
        <f>IFERROR((Data!N46-Data!M46)/Data!M46,0)</f>
        <v>0.20429141124548689</v>
      </c>
      <c r="J24" s="359">
        <f>IFERROR(Data!N46-Data!M46,0)</f>
        <v>6685.3293970355444</v>
      </c>
      <c r="K24" s="385">
        <f>IFERROR(Data!O46/Data!$O$42,0)</f>
        <v>9.0141070467341378E-2</v>
      </c>
      <c r="L24" s="399">
        <f>IFERROR((Data!O46-Data!N46)/Data!N46,0)</f>
        <v>0.5718171055784923</v>
      </c>
      <c r="M24" s="359">
        <f>IFERROR(Data!O46-Data!N46,0)</f>
        <v>22535.200889166263</v>
      </c>
      <c r="N24" s="385">
        <f>IFERROR(Data!P46/Data!$P$42,0)</f>
        <v>9.7613228171168048E-2</v>
      </c>
      <c r="O24" s="399">
        <f>IFERROR((Data!P46-Data!O46)/Data!O46,0)</f>
        <v>0.12156257893532665</v>
      </c>
      <c r="P24" s="359">
        <f>IFERROR(Data!P46-Data!O46,0)</f>
        <v>7530.1947238885405</v>
      </c>
      <c r="Q24" s="385">
        <f>IFERROR(Data!Q46/Data!$Q$42,0)</f>
        <v>5.2200796573375008E-2</v>
      </c>
      <c r="R24" s="399">
        <f>IFERROR((Data!Q46-Data!P46)/Data!P46,0)</f>
        <v>-0.51359977708440285</v>
      </c>
      <c r="S24" s="359">
        <f>IFERROR(Data!Q46-Data!P46,0)</f>
        <v>-35682.447783671545</v>
      </c>
      <c r="T24" s="385">
        <f>IFERROR(Data!R46/Data!$R$42,0)</f>
        <v>7.060932154820429E-2</v>
      </c>
      <c r="U24" s="399">
        <f>IFERROR((Data!R46-Data!Q46)/Data!Q46,0)</f>
        <v>0.43289565830220061</v>
      </c>
      <c r="V24" s="359">
        <f>IFERROR(Data!R46-Data!Q46,0)</f>
        <v>14628.736180761924</v>
      </c>
    </row>
    <row r="25" spans="1:25" ht="15.75" x14ac:dyDescent="0.25">
      <c r="A25" s="4"/>
      <c r="B25" s="206"/>
      <c r="C25" s="238" t="s">
        <v>43</v>
      </c>
      <c r="D25" s="376">
        <f>IFERROR(Data!L47/Data!$L$42,0)</f>
        <v>0</v>
      </c>
      <c r="E25" s="385">
        <f>IFERROR(Data!M47/Data!$M$42,0)</f>
        <v>0</v>
      </c>
      <c r="F25" s="399">
        <f>IFERROR((Data!M47-Data!L47)/Data!L47,0)</f>
        <v>0</v>
      </c>
      <c r="G25" s="359">
        <f>IFERROR(Data!M47-Data!L47,0)</f>
        <v>0</v>
      </c>
      <c r="H25" s="392">
        <f>IFERROR(Data!N47/Data!$N$42,0)</f>
        <v>0</v>
      </c>
      <c r="I25" s="399">
        <f>IFERROR((Data!N47-Data!M47)/Data!M47,0)</f>
        <v>0</v>
      </c>
      <c r="J25" s="359">
        <f>IFERROR(Data!N47-Data!M47,0)</f>
        <v>0</v>
      </c>
      <c r="K25" s="385">
        <f>IFERROR(Data!O47/Data!$O$42,0)</f>
        <v>0</v>
      </c>
      <c r="L25" s="399">
        <f>IFERROR((Data!O47-Data!N47)/Data!N47,0)</f>
        <v>0</v>
      </c>
      <c r="M25" s="359">
        <f>IFERROR(Data!O47-Data!N47,0)</f>
        <v>0</v>
      </c>
      <c r="N25" s="385">
        <f>IFERROR(Data!P47/Data!$P$42,0)</f>
        <v>0</v>
      </c>
      <c r="O25" s="399">
        <f>IFERROR((Data!P47-Data!O47)/Data!O47,0)</f>
        <v>0</v>
      </c>
      <c r="P25" s="359">
        <f>IFERROR(Data!P47-Data!O47,0)</f>
        <v>0</v>
      </c>
      <c r="Q25" s="385">
        <f>IFERROR(Data!Q47/Data!$Q$42,0)</f>
        <v>0</v>
      </c>
      <c r="R25" s="399">
        <f>IFERROR((Data!Q47-Data!P47)/Data!P47,0)</f>
        <v>0</v>
      </c>
      <c r="S25" s="359">
        <f>IFERROR(Data!Q47-Data!P47,0)</f>
        <v>0</v>
      </c>
      <c r="T25" s="385">
        <f>IFERROR(Data!R47/Data!$R$42,0)</f>
        <v>0</v>
      </c>
      <c r="U25" s="399">
        <f>IFERROR((Data!R47-Data!Q47)/Data!Q47,0)</f>
        <v>0</v>
      </c>
      <c r="V25" s="359">
        <f>IFERROR(Data!R47-Data!Q47,0)</f>
        <v>0</v>
      </c>
    </row>
    <row r="26" spans="1:25" ht="15.75" x14ac:dyDescent="0.25">
      <c r="A26" s="4"/>
      <c r="B26" s="208"/>
      <c r="C26" s="238" t="s">
        <v>44</v>
      </c>
      <c r="D26" s="376">
        <f>IFERROR(Data!L48/Data!$L$42,0)</f>
        <v>0</v>
      </c>
      <c r="E26" s="385">
        <f>IFERROR(Data!M48/Data!$M$42,0)</f>
        <v>0</v>
      </c>
      <c r="F26" s="399">
        <f>IFERROR((Data!M48-Data!L48)/Data!L48,0)</f>
        <v>0</v>
      </c>
      <c r="G26" s="359">
        <f>IFERROR(Data!M48-Data!L48,0)</f>
        <v>0</v>
      </c>
      <c r="H26" s="392">
        <f>IFERROR(Data!N48/Data!$N$42,0)</f>
        <v>3.5444373589844062E-4</v>
      </c>
      <c r="I26" s="399">
        <f>IFERROR((Data!N48-Data!M48)/Data!M48,0)</f>
        <v>0</v>
      </c>
      <c r="J26" s="359">
        <f>IFERROR(Data!N48-Data!M48,0)</f>
        <v>219.71950836172437</v>
      </c>
      <c r="K26" s="385">
        <f>IFERROR(Data!O48/Data!$O$42,0)</f>
        <v>3.7098283780048394E-4</v>
      </c>
      <c r="L26" s="399">
        <f>IFERROR((Data!O48-Data!N48)/Data!N48,0)</f>
        <v>0.16029598910146173</v>
      </c>
      <c r="M26" s="359">
        <f>IFERROR(Data!O48-Data!N48,0)</f>
        <v>35.2201559177295</v>
      </c>
      <c r="N26" s="385">
        <f>IFERROR(Data!P48/Data!$P$42,0)</f>
        <v>3.7573611082991073E-4</v>
      </c>
      <c r="O26" s="399">
        <f>IFERROR((Data!P48-Data!O48)/Data!O48,0)</f>
        <v>4.8978683698680581E-2</v>
      </c>
      <c r="P26" s="359">
        <f>IFERROR(Data!P48-Data!O48,0)</f>
        <v>12.486609178991188</v>
      </c>
      <c r="Q26" s="385">
        <f>IFERROR(Data!Q48/Data!$Q$42,0)</f>
        <v>4.0023557809085728E-4</v>
      </c>
      <c r="R26" s="399">
        <f>IFERROR((Data!Q48-Data!P48)/Data!P48,0)</f>
        <v>-3.1146602563027346E-2</v>
      </c>
      <c r="S26" s="359">
        <f>IFERROR(Data!Q48-Data!P48,0)</f>
        <v>-8.3294198543216567</v>
      </c>
      <c r="T26" s="385">
        <f>IFERROR(Data!R48/Data!$R$42,0)</f>
        <v>0</v>
      </c>
      <c r="U26" s="399">
        <f>IFERROR((Data!R48-Data!Q48)/Data!Q48,0)</f>
        <v>-1</v>
      </c>
      <c r="V26" s="359">
        <f>IFERROR(Data!R48-Data!Q48,0)</f>
        <v>-259.0968536041234</v>
      </c>
    </row>
    <row r="27" spans="1:25" ht="15.75" x14ac:dyDescent="0.25">
      <c r="A27" s="4"/>
      <c r="B27" s="206"/>
      <c r="C27" s="238" t="s">
        <v>45</v>
      </c>
      <c r="D27" s="376">
        <f>IFERROR(Data!L49/Data!$L$42,0)</f>
        <v>0</v>
      </c>
      <c r="E27" s="385">
        <f>IFERROR(Data!M49/Data!$M$42,0)</f>
        <v>0</v>
      </c>
      <c r="F27" s="399">
        <f>IFERROR((Data!M49-Data!L49)/Data!L49,0)</f>
        <v>0</v>
      </c>
      <c r="G27" s="359">
        <f>IFERROR(Data!M49-Data!L49,0)</f>
        <v>0</v>
      </c>
      <c r="H27" s="392">
        <f>IFERROR(Data!N49/Data!$N$42,0)</f>
        <v>0</v>
      </c>
      <c r="I27" s="399">
        <f>IFERROR((Data!N49-Data!M49)/Data!M49,0)</f>
        <v>0</v>
      </c>
      <c r="J27" s="359">
        <f>IFERROR(Data!N49-Data!M49,0)</f>
        <v>0</v>
      </c>
      <c r="K27" s="385">
        <f>IFERROR(Data!O49/Data!$O$42,0)</f>
        <v>0</v>
      </c>
      <c r="L27" s="399">
        <f>IFERROR((Data!O49-Data!N49)/Data!N49,0)</f>
        <v>0</v>
      </c>
      <c r="M27" s="359">
        <f>IFERROR(Data!O49-Data!N49,0)</f>
        <v>0</v>
      </c>
      <c r="N27" s="385">
        <f>IFERROR(Data!P49/Data!$P$42,0)</f>
        <v>0</v>
      </c>
      <c r="O27" s="399">
        <f>IFERROR((Data!P49-Data!O49)/Data!O49,0)</f>
        <v>0</v>
      </c>
      <c r="P27" s="359">
        <f>IFERROR(Data!P49-Data!O49,0)</f>
        <v>0</v>
      </c>
      <c r="Q27" s="385">
        <f>IFERROR(Data!Q49/Data!$Q$42,0)</f>
        <v>5.9227260130784816E-4</v>
      </c>
      <c r="R27" s="399">
        <f>IFERROR((Data!Q49-Data!P49)/Data!P49,0)</f>
        <v>0</v>
      </c>
      <c r="S27" s="359">
        <f>IFERROR(Data!Q49-Data!P49,0)</f>
        <v>383.4141087775983</v>
      </c>
      <c r="T27" s="385">
        <f>IFERROR(Data!R49/Data!$R$42,0)</f>
        <v>3.6086914733428495E-4</v>
      </c>
      <c r="U27" s="399">
        <f>IFERROR((Data!R49-Data!Q49)/Data!Q49,0)</f>
        <v>-0.35455718685373305</v>
      </c>
      <c r="V27" s="359">
        <f>IFERROR(Data!R49-Data!Q49,0)</f>
        <v>-135.94222780821644</v>
      </c>
    </row>
    <row r="28" spans="1:25" ht="16.5" thickBot="1" x14ac:dyDescent="0.3">
      <c r="A28" s="4"/>
      <c r="B28" s="5"/>
      <c r="C28" s="243" t="s">
        <v>46</v>
      </c>
      <c r="D28" s="377">
        <f>IFERROR(Data!L50/Data!$L$42,0)</f>
        <v>2.6260494953151761E-2</v>
      </c>
      <c r="E28" s="386">
        <f>IFERROR(Data!M50/Data!$M$42,0)</f>
        <v>2.0871660386550733E-2</v>
      </c>
      <c r="F28" s="400">
        <f>IFERROR((Data!M50-Data!L50)/Data!L50,0)</f>
        <v>-0.34945996829204301</v>
      </c>
      <c r="G28" s="360">
        <f>IFERROR(Data!M50-Data!L50,0)</f>
        <v>-9195.9426790530306</v>
      </c>
      <c r="H28" s="393">
        <f>IFERROR(Data!N50/Data!$N$42,0)</f>
        <v>2.6509010912462133E-2</v>
      </c>
      <c r="I28" s="400">
        <f>IFERROR((Data!N50-Data!M50)/Data!M50,0)</f>
        <v>-4.0064643050040323E-2</v>
      </c>
      <c r="J28" s="360">
        <f>IFERROR(Data!N50-Data!M50,0)</f>
        <v>-685.85787045862889</v>
      </c>
      <c r="K28" s="386">
        <f>IFERROR(Data!O50/Data!$O$42,0)</f>
        <v>2.8991460120557297E-2</v>
      </c>
      <c r="L28" s="400">
        <f>IFERROR((Data!O50-Data!N50)/Data!N50,0)</f>
        <v>0.21238021979083838</v>
      </c>
      <c r="M28" s="360">
        <f>IFERROR(Data!O50-Data!N50,0)</f>
        <v>3490.0279333585786</v>
      </c>
      <c r="N28" s="386">
        <f>IFERROR(Data!P50/Data!$P$42,0)</f>
        <v>2.7558219086170229E-2</v>
      </c>
      <c r="O28" s="400">
        <f>IFERROR((Data!P50-Data!O50)/Data!O50,0)</f>
        <v>-1.5493458771062948E-2</v>
      </c>
      <c r="P28" s="360">
        <f>IFERROR(Data!P50-Data!O50,0)</f>
        <v>-308.67542871868864</v>
      </c>
      <c r="Q28" s="386">
        <f>IFERROR(Data!Q50/Data!$Q$42,0)</f>
        <v>2.6489701063951654E-2</v>
      </c>
      <c r="R28" s="400">
        <f>IFERROR((Data!Q50-Data!P50)/Data!P50,0)</f>
        <v>-0.12571863939407429</v>
      </c>
      <c r="S28" s="360">
        <f>IFERROR(Data!Q50-Data!P50,0)</f>
        <v>-2465.880108946305</v>
      </c>
      <c r="T28" s="386">
        <f>IFERROR(Data!R50/Data!$R$42,0)</f>
        <v>3.2352742249545242E-2</v>
      </c>
      <c r="U28" s="400">
        <f>IFERROR((Data!R50-Data!Q50)/Data!Q50,0)</f>
        <v>0.29378972856192642</v>
      </c>
      <c r="V28" s="360">
        <f>IFERROR(Data!R50-Data!Q50,0)</f>
        <v>5038.0226150624003</v>
      </c>
    </row>
    <row r="29" spans="1:25" ht="17.25" thickTop="1" thickBot="1" x14ac:dyDescent="0.3">
      <c r="A29" s="4"/>
      <c r="B29" s="5"/>
      <c r="C29" s="270" t="s">
        <v>47</v>
      </c>
      <c r="D29" s="335">
        <f>IFERROR(Data!L51/Data!$L$42,0)</f>
        <v>0.12636930944490107</v>
      </c>
      <c r="E29" s="338">
        <f>IFERROR(Data!M51/Data!$M$42,0)</f>
        <v>0.1303026380563814</v>
      </c>
      <c r="F29" s="337">
        <f>IFERROR((Data!M51-Data!L51)/Data!L51,0)</f>
        <v>-0.15602121407338251</v>
      </c>
      <c r="G29" s="252">
        <f>IFERROR(Data!M51-Data!L51,0)</f>
        <v>-19757.008209253006</v>
      </c>
      <c r="H29" s="394">
        <f>IFERROR(Data!N51/Data!$N$42,0)</f>
        <v>0.16287253086656886</v>
      </c>
      <c r="I29" s="337">
        <f>IFERROR((Data!N51-Data!M51)/Data!M51,0)</f>
        <v>-5.5286546015833701E-2</v>
      </c>
      <c r="J29" s="252">
        <f>IFERROR(Data!N51-Data!M51,0)</f>
        <v>-5908.6534156426933</v>
      </c>
      <c r="K29" s="338">
        <f>IFERROR(Data!O51/Data!$O$42,0)</f>
        <v>0.17647338379993113</v>
      </c>
      <c r="L29" s="337">
        <f>IFERROR((Data!O51-Data!N51)/Data!N51,0)</f>
        <v>0.20114004357973073</v>
      </c>
      <c r="M29" s="252">
        <f>IFERROR(Data!O51-Data!N51,0)</f>
        <v>20308.025400369166</v>
      </c>
      <c r="N29" s="338">
        <f>IFERROR(Data!P51/Data!$P$42,0)</f>
        <v>0.18571487091016187</v>
      </c>
      <c r="O29" s="337">
        <f>IFERROR((Data!P51-Data!O51)/Data!O51,0)</f>
        <v>8.9946080086363248E-2</v>
      </c>
      <c r="P29" s="252">
        <f>IFERROR(Data!P51-Data!O51,0)</f>
        <v>10907.997883083648</v>
      </c>
      <c r="Q29" s="338">
        <f>IFERROR(Data!Q51/Data!$Q$42,0)</f>
        <v>0.14827777489933505</v>
      </c>
      <c r="R29" s="337">
        <f>IFERROR((Data!Q51-Data!P51)/Data!P51,0)</f>
        <v>-0.273802599357443</v>
      </c>
      <c r="S29" s="252">
        <f>IFERROR(Data!Q51-Data!P51,0)</f>
        <v>-36191.40008604496</v>
      </c>
      <c r="T29" s="338">
        <f>IFERROR(Data!R51/Data!$R$42,0)</f>
        <v>0.18046438653134889</v>
      </c>
      <c r="U29" s="337">
        <f>IFERROR((Data!R51-Data!Q51)/Data!Q51,0)</f>
        <v>0.28927365306579178</v>
      </c>
      <c r="V29" s="252">
        <f>IFERROR(Data!R51-Data!Q51,0)</f>
        <v>27767.155199937275</v>
      </c>
    </row>
    <row r="30" spans="1:25" ht="15.75" x14ac:dyDescent="0.25">
      <c r="A30" s="4"/>
      <c r="B30" s="5"/>
      <c r="C30" s="233" t="s">
        <v>48</v>
      </c>
      <c r="D30" s="375">
        <f>IFERROR(Data!L52/Data!$L$42,0)</f>
        <v>0</v>
      </c>
      <c r="E30" s="384">
        <f>IFERROR(Data!M52/Data!$M$42,0)</f>
        <v>0</v>
      </c>
      <c r="F30" s="398">
        <f>IFERROR((Data!M52-Data!L52)/Data!L52,0)</f>
        <v>0</v>
      </c>
      <c r="G30" s="358">
        <f>IFERROR(Data!M52-Data!L52,0)</f>
        <v>0</v>
      </c>
      <c r="H30" s="391">
        <f>IFERROR(Data!N52/Data!$N$42,0)</f>
        <v>0</v>
      </c>
      <c r="I30" s="398">
        <f>IFERROR((Data!N52-Data!M52)/Data!M52,0)</f>
        <v>0</v>
      </c>
      <c r="J30" s="358">
        <f>IFERROR(Data!N52-Data!M52,0)</f>
        <v>0</v>
      </c>
      <c r="K30" s="384">
        <f>IFERROR(Data!O52/Data!$O$42,0)</f>
        <v>0</v>
      </c>
      <c r="L30" s="398">
        <f>IFERROR((Data!O52-Data!N52)/Data!N52,0)</f>
        <v>0</v>
      </c>
      <c r="M30" s="358">
        <f>IFERROR(Data!O52-Data!N52,0)</f>
        <v>0</v>
      </c>
      <c r="N30" s="384">
        <f>IFERROR(Data!P52/Data!$P$42,0)</f>
        <v>0</v>
      </c>
      <c r="O30" s="398">
        <f>IFERROR((Data!P52-Data!O52)/Data!O52,0)</f>
        <v>0</v>
      </c>
      <c r="P30" s="358">
        <f>IFERROR(Data!P52-Data!O52,0)</f>
        <v>0</v>
      </c>
      <c r="Q30" s="384">
        <f>IFERROR(Data!Q52/Data!$Q$42,0)</f>
        <v>0</v>
      </c>
      <c r="R30" s="398">
        <f>IFERROR((Data!Q52-Data!P52)/Data!P52,0)</f>
        <v>0</v>
      </c>
      <c r="S30" s="358">
        <f>IFERROR(Data!Q52-Data!P52,0)</f>
        <v>0</v>
      </c>
      <c r="T30" s="384">
        <f>IFERROR(Data!R52/Data!$R$42,0)</f>
        <v>0</v>
      </c>
      <c r="U30" s="398">
        <f>IFERROR((Data!R52-Data!Q52)/Data!Q52,0)</f>
        <v>0</v>
      </c>
      <c r="V30" s="279">
        <f>IFERROR(Data!R52-Data!Q52,0)</f>
        <v>0</v>
      </c>
    </row>
    <row r="31" spans="1:25" ht="16.5" thickBot="1" x14ac:dyDescent="0.3">
      <c r="A31" s="4"/>
      <c r="B31" s="5"/>
      <c r="C31" s="243" t="s">
        <v>49</v>
      </c>
      <c r="D31" s="377">
        <f>IFERROR(Data!L53/Data!$L$42,0)</f>
        <v>5.3497264618095314E-2</v>
      </c>
      <c r="E31" s="386">
        <f>IFERROR(Data!M53/Data!$M$42,0)</f>
        <v>5.4494317318952774E-2</v>
      </c>
      <c r="F31" s="400">
        <f>IFERROR((Data!M53-Data!L53)/Data!L53,0)</f>
        <v>-0.16624284468719364</v>
      </c>
      <c r="G31" s="360">
        <f>IFERROR(Data!M53-Data!L53,0)</f>
        <v>-8911.9030512677782</v>
      </c>
      <c r="H31" s="393">
        <f>IFERROR(Data!N53/Data!$N$42,0)</f>
        <v>0.12607645638216414</v>
      </c>
      <c r="I31" s="400">
        <f>IFERROR((Data!N53-Data!M53)/Data!M53,0)</f>
        <v>0.74859100963142633</v>
      </c>
      <c r="J31" s="360">
        <f>IFERROR(Data!N53-Data!M53,0)</f>
        <v>33458.901061216202</v>
      </c>
      <c r="K31" s="386">
        <f>IFERROR(Data!O53/Data!$O$42,0)</f>
        <v>0.11720681444553827</v>
      </c>
      <c r="L31" s="400">
        <f>IFERROR((Data!O53-Data!N53)/Data!N53,0)</f>
        <v>3.0578662082796922E-2</v>
      </c>
      <c r="M31" s="360">
        <f>IFERROR(Data!O53-Data!N53,0)</f>
        <v>2389.8672973649955</v>
      </c>
      <c r="N31" s="386">
        <f>IFERROR(Data!P53/Data!$P$42,0)</f>
        <v>0.10931943266672349</v>
      </c>
      <c r="O31" s="400">
        <f>IFERROR((Data!P53-Data!O53)/Data!O53,0)</f>
        <v>-3.3989041887319799E-2</v>
      </c>
      <c r="P31" s="360">
        <f>IFERROR(Data!P53-Data!O53,0)</f>
        <v>-2737.6339342316351</v>
      </c>
      <c r="Q31" s="386">
        <f>IFERROR(Data!Q53/Data!$Q$42,0)</f>
        <v>9.1423407887112645E-2</v>
      </c>
      <c r="R31" s="400">
        <f>IFERROR((Data!Q53-Data!P53)/Data!P53,0)</f>
        <v>-0.23934916321150196</v>
      </c>
      <c r="S31" s="360">
        <f>IFERROR(Data!Q53-Data!P53,0)</f>
        <v>-18623.033283442921</v>
      </c>
      <c r="T31" s="386">
        <f>IFERROR(Data!R53/Data!$R$42,0)</f>
        <v>8.5925124324093424E-2</v>
      </c>
      <c r="U31" s="400">
        <f>IFERROR((Data!R53-Data!Q53)/Data!Q53,0)</f>
        <v>-4.3827290495141715E-3</v>
      </c>
      <c r="V31" s="360">
        <f>IFERROR(Data!R53-Data!Q53,0)</f>
        <v>-259.3871609447524</v>
      </c>
      <c r="Y31" s="209"/>
    </row>
    <row r="32" spans="1:25" ht="17.25" thickTop="1" thickBot="1" x14ac:dyDescent="0.3">
      <c r="A32" s="4"/>
      <c r="B32" s="5"/>
      <c r="C32" s="288" t="s">
        <v>50</v>
      </c>
      <c r="D32" s="378">
        <f>IFERROR(Data!L54/Data!$L$42,0)</f>
        <v>5.3497264618095314E-2</v>
      </c>
      <c r="E32" s="387">
        <f>IFERROR(Data!M54/Data!$M$42,0)</f>
        <v>5.4494317318952774E-2</v>
      </c>
      <c r="F32" s="401">
        <f>IFERROR((Data!M54-Data!L54)/Data!L54,0)</f>
        <v>-0.16624284468719364</v>
      </c>
      <c r="G32" s="361">
        <f>IFERROR(Data!M54-Data!L54,0)</f>
        <v>-8911.9030512677782</v>
      </c>
      <c r="H32" s="395">
        <f>IFERROR(Data!N54/Data!$N$42,0)</f>
        <v>0.12607645638216414</v>
      </c>
      <c r="I32" s="401">
        <f>IFERROR((Data!N54-Data!M54)/Data!M54,0)</f>
        <v>0.74859100963142633</v>
      </c>
      <c r="J32" s="361">
        <f>IFERROR(Data!N54-Data!M54,0)</f>
        <v>33458.901061216202</v>
      </c>
      <c r="K32" s="387">
        <f>IFERROR(Data!O54/Data!$O$42,0)</f>
        <v>0.11720681444553827</v>
      </c>
      <c r="L32" s="401">
        <f>IFERROR((Data!O54-Data!N54)/Data!N54,0)</f>
        <v>3.0578662082796922E-2</v>
      </c>
      <c r="M32" s="361">
        <f>IFERROR(Data!O54-Data!N54,0)</f>
        <v>2389.8672973649955</v>
      </c>
      <c r="N32" s="387">
        <f>IFERROR(Data!P54/Data!$P$42,0)</f>
        <v>0.10931943266672349</v>
      </c>
      <c r="O32" s="401">
        <f>IFERROR((Data!P54-Data!O54)/Data!O54,0)</f>
        <v>-3.3989041887319799E-2</v>
      </c>
      <c r="P32" s="361">
        <f>IFERROR(Data!P54-Data!O54,0)</f>
        <v>-2737.6339342316351</v>
      </c>
      <c r="Q32" s="387">
        <f>IFERROR(Data!Q54/Data!$Q$42,0)</f>
        <v>9.1423407887112645E-2</v>
      </c>
      <c r="R32" s="401">
        <f>IFERROR((Data!Q54-Data!P54)/Data!P54,0)</f>
        <v>-0.23934916321150196</v>
      </c>
      <c r="S32" s="361">
        <f>IFERROR(Data!Q54-Data!P54,0)</f>
        <v>-18623.033283442921</v>
      </c>
      <c r="T32" s="387">
        <f>IFERROR(Data!R54/Data!$R$42,0)</f>
        <v>8.5925124324093424E-2</v>
      </c>
      <c r="U32" s="401">
        <f>IFERROR((Data!R54-Data!Q54)/Data!Q54,0)</f>
        <v>-4.3827290495141715E-3</v>
      </c>
      <c r="V32" s="361">
        <f>IFERROR(Data!R54-Data!Q54,0)</f>
        <v>-259.3871609447524</v>
      </c>
    </row>
    <row r="33" spans="1:25" ht="17.25" thickTop="1" thickBot="1" x14ac:dyDescent="0.3">
      <c r="A33" s="4"/>
      <c r="B33" s="5"/>
      <c r="C33" s="270" t="s">
        <v>51</v>
      </c>
      <c r="D33" s="335">
        <f>IFERROR(Data!L55/Data!$L$42,0)</f>
        <v>0.17986657406299639</v>
      </c>
      <c r="E33" s="338">
        <f>IFERROR(Data!M55/Data!$M$42,0)</f>
        <v>0.18479695537533419</v>
      </c>
      <c r="F33" s="337">
        <f>IFERROR((Data!M55-Data!L55)/Data!L55,0)</f>
        <v>-0.15906140806509078</v>
      </c>
      <c r="G33" s="252">
        <f>IFERROR(Data!M55-Data!L55,0)</f>
        <v>-28668.911260520777</v>
      </c>
      <c r="H33" s="394">
        <f>IFERROR(Data!N55/Data!$N$42,0)</f>
        <v>0.28894898724873297</v>
      </c>
      <c r="I33" s="337">
        <f>IFERROR((Data!N55-Data!M55)/Data!M55,0)</f>
        <v>0.18176691903748174</v>
      </c>
      <c r="J33" s="252">
        <f>IFERROR(Data!N55-Data!M55,0)</f>
        <v>27550.247645573487</v>
      </c>
      <c r="K33" s="338">
        <f>IFERROR(Data!O55/Data!$O$42,0)</f>
        <v>0.29368019824546943</v>
      </c>
      <c r="L33" s="337">
        <f>IFERROR((Data!O55-Data!N55)/Data!N55,0)</f>
        <v>0.12671938275814101</v>
      </c>
      <c r="M33" s="252">
        <f>IFERROR(Data!O55-Data!N55,0)</f>
        <v>22697.892697734176</v>
      </c>
      <c r="N33" s="338">
        <f>IFERROR(Data!P55/Data!$P$42,0)</f>
        <v>0.29503430357688537</v>
      </c>
      <c r="O33" s="337">
        <f>IFERROR((Data!P55-Data!O55)/Data!O55,0)</f>
        <v>4.0483974941932753E-2</v>
      </c>
      <c r="P33" s="252">
        <f>IFERROR(Data!P55-Data!O55,0)</f>
        <v>8170.3639488520275</v>
      </c>
      <c r="Q33" s="338">
        <f>IFERROR(Data!Q55/Data!$Q$42,0)</f>
        <v>0.23970118278644767</v>
      </c>
      <c r="R33" s="337">
        <f>IFERROR((Data!Q55-Data!P55)/Data!P55,0)</f>
        <v>-0.26103652420200973</v>
      </c>
      <c r="S33" s="252">
        <f>IFERROR(Data!Q55-Data!P55,0)</f>
        <v>-54814.433369487902</v>
      </c>
      <c r="T33" s="338">
        <f>IFERROR(Data!R55/Data!$R$42,0)</f>
        <v>0.26638951085544232</v>
      </c>
      <c r="U33" s="337">
        <f>IFERROR((Data!R55-Data!Q55)/Data!Q55,0)</f>
        <v>0.17727142225202172</v>
      </c>
      <c r="V33" s="252">
        <f>IFERROR(Data!R55-Data!Q55,0)</f>
        <v>27507.768038992537</v>
      </c>
    </row>
    <row r="34" spans="1:25" ht="16.5" thickBot="1" x14ac:dyDescent="0.3">
      <c r="A34" s="4"/>
      <c r="B34" s="5"/>
      <c r="C34" s="293"/>
      <c r="D34" s="379"/>
      <c r="E34" s="388"/>
      <c r="F34" s="388"/>
      <c r="G34" s="362"/>
      <c r="H34" s="381"/>
      <c r="I34" s="379"/>
      <c r="J34" s="294"/>
      <c r="K34" s="379"/>
      <c r="L34" s="379"/>
      <c r="M34" s="294"/>
      <c r="N34" s="379"/>
      <c r="O34" s="379"/>
      <c r="P34" s="294"/>
      <c r="Q34" s="379"/>
      <c r="R34" s="379"/>
      <c r="S34" s="294"/>
      <c r="T34" s="388"/>
      <c r="U34" s="388"/>
      <c r="V34" s="295"/>
    </row>
    <row r="35" spans="1:25" ht="16.5" thickBot="1" x14ac:dyDescent="0.3">
      <c r="A35" s="4"/>
      <c r="B35" s="5"/>
      <c r="C35" s="460" t="s">
        <v>52</v>
      </c>
      <c r="D35" s="380"/>
      <c r="E35" s="380"/>
      <c r="F35" s="380"/>
      <c r="G35" s="268"/>
      <c r="H35" s="380"/>
      <c r="I35" s="380"/>
      <c r="J35" s="268"/>
      <c r="K35" s="380"/>
      <c r="L35" s="380"/>
      <c r="M35" s="268"/>
      <c r="N35" s="380"/>
      <c r="O35" s="380"/>
      <c r="P35" s="268"/>
      <c r="Q35" s="380"/>
      <c r="R35" s="380"/>
      <c r="S35" s="268"/>
      <c r="T35" s="380"/>
      <c r="U35" s="380"/>
      <c r="V35" s="268"/>
      <c r="Y35" s="209"/>
    </row>
    <row r="36" spans="1:25" ht="15.75" x14ac:dyDescent="0.25">
      <c r="A36" s="4"/>
      <c r="B36" s="3"/>
      <c r="C36" s="233" t="s">
        <v>53</v>
      </c>
      <c r="D36" s="375">
        <f>IFERROR(Data!L58/Data!$L$42,0)</f>
        <v>2.9003386663310558E-5</v>
      </c>
      <c r="E36" s="384">
        <f>IFERROR(Data!M58/Data!$M$42,0)</f>
        <v>2.8538260124202584E-5</v>
      </c>
      <c r="F36" s="398">
        <f>IFERROR((Data!M58-Data!L58)/Data!L58,0)</f>
        <v>-0.19462394355600521</v>
      </c>
      <c r="G36" s="358">
        <f>IFERROR(Data!M58-Data!L58,0)</f>
        <v>-5.6564101862314224</v>
      </c>
      <c r="H36" s="391">
        <f>IFERROR(Data!N58/Data!$N$42,0)</f>
        <v>2.8683308107388259E-5</v>
      </c>
      <c r="I36" s="398">
        <f>IFERROR((Data!N58-Data!M58)/Data!M58,0)</f>
        <v>-0.24036107662559092</v>
      </c>
      <c r="J36" s="358">
        <f>IFERROR(Data!N58-Data!M58,0)</f>
        <v>-5.6261004535219357</v>
      </c>
      <c r="K36" s="384">
        <f>IFERROR(Data!O58/Data!$O$42,0)</f>
        <v>2.715691361676745E-5</v>
      </c>
      <c r="L36" s="398">
        <f>IFERROR((Data!O58-Data!N58)/Data!N58,0)</f>
        <v>4.9574933932302577E-2</v>
      </c>
      <c r="M36" s="358">
        <f>IFERROR(Data!O58-Data!N58,0)</f>
        <v>0.88148047138373897</v>
      </c>
      <c r="N36" s="384">
        <f>IFERROR(Data!P58/Data!$P$42,0)</f>
        <v>2.6367446374028821E-5</v>
      </c>
      <c r="O36" s="398">
        <f>IFERROR((Data!P58-Data!O58)/Data!O58,0)</f>
        <v>5.5998659517427201E-3</v>
      </c>
      <c r="P36" s="358">
        <f>IFERROR(Data!P58-Data!O58,0)</f>
        <v>0.10450609798933996</v>
      </c>
      <c r="Q36" s="384">
        <f>IFERROR(Data!Q58/Data!$Q$42,0)</f>
        <v>2.6618993317206661E-5</v>
      </c>
      <c r="R36" s="398">
        <f>IFERROR((Data!Q58-Data!P58)/Data!P58,0)</f>
        <v>-8.1775521193937925E-2</v>
      </c>
      <c r="S36" s="358">
        <f>IFERROR(Data!Q58-Data!P58,0)</f>
        <v>-1.5346612556503096</v>
      </c>
      <c r="T36" s="384">
        <f>IFERROR(Data!R58/Data!$R$42,0)</f>
        <v>2.4918214859087493E-5</v>
      </c>
      <c r="U36" s="398">
        <f>IFERROR((Data!R58-Data!Q58)/Data!Q58,0)</f>
        <v>-8.3578974349585999E-3</v>
      </c>
      <c r="V36" s="358">
        <f>IFERROR(Data!R58-Data!Q58,0)</f>
        <v>-0.14402408073165063</v>
      </c>
    </row>
    <row r="37" spans="1:25" ht="15.75" x14ac:dyDescent="0.25">
      <c r="A37" s="4"/>
      <c r="B37" s="5"/>
      <c r="C37" s="238" t="s">
        <v>54</v>
      </c>
      <c r="D37" s="376">
        <f>IFERROR(Data!L59/Data!$L$42,0)</f>
        <v>2.6086992550790885E-2</v>
      </c>
      <c r="E37" s="385">
        <f>IFERROR(Data!M59/Data!$M$42,0)</f>
        <v>2.5668636146356429E-2</v>
      </c>
      <c r="F37" s="399">
        <f>IFERROR((Data!M59-Data!L59)/Data!L59,0)</f>
        <v>-0.19462394355600521</v>
      </c>
      <c r="G37" s="359">
        <f>IFERROR(Data!M59-Data!L59,0)</f>
        <v>-5087.6379405409025</v>
      </c>
      <c r="H37" s="392">
        <f>IFERROR(Data!N59/Data!$N$42,0)</f>
        <v>2.579909903680427E-2</v>
      </c>
      <c r="I37" s="399">
        <f>IFERROR((Data!N59-Data!M59)/Data!M59,0)</f>
        <v>-0.24036107662559089</v>
      </c>
      <c r="J37" s="359">
        <f>IFERROR(Data!N59-Data!M59,0)</f>
        <v>-5060.3759597043991</v>
      </c>
      <c r="K37" s="385">
        <f>IFERROR(Data!O59/Data!$O$42,0)</f>
        <v>2.4426188963624286E-2</v>
      </c>
      <c r="L37" s="399">
        <f>IFERROR((Data!O59-Data!N59)/Data!N59,0)</f>
        <v>4.9574933932302688E-2</v>
      </c>
      <c r="M37" s="359">
        <f>IFERROR(Data!O59-Data!N59,0)</f>
        <v>792.84446184156513</v>
      </c>
      <c r="N37" s="385">
        <f>IFERROR(Data!P59/Data!$P$42,0)</f>
        <v>2.3716105471668886E-2</v>
      </c>
      <c r="O37" s="399">
        <f>IFERROR((Data!P59-Data!O59)/Data!O59,0)</f>
        <v>5.5998659517425553E-3</v>
      </c>
      <c r="P37" s="359">
        <f>IFERROR(Data!P59-Data!O59,0)</f>
        <v>93.997636600444821</v>
      </c>
      <c r="Q37" s="385">
        <f>IFERROR(Data!Q59/Data!$Q$42,0)</f>
        <v>2.3942358471328251E-2</v>
      </c>
      <c r="R37" s="399">
        <f>IFERROR((Data!Q59-Data!P59)/Data!P59,0)</f>
        <v>-8.1775521193938022E-2</v>
      </c>
      <c r="S37" s="359">
        <f>IFERROR(Data!Q59-Data!P59,0)</f>
        <v>-1380.3455854616168</v>
      </c>
      <c r="T37" s="385">
        <f>IFERROR(Data!R59/Data!$R$42,0)</f>
        <v>2.2412599361381749E-2</v>
      </c>
      <c r="U37" s="399">
        <f>IFERROR((Data!R59-Data!Q59)/Data!Q59,0)</f>
        <v>-8.3578974349584091E-3</v>
      </c>
      <c r="V37" s="359">
        <f>IFERROR(Data!R59-Data!Q59,0)</f>
        <v>-129.5419450423633</v>
      </c>
    </row>
    <row r="38" spans="1:25" ht="15.75" x14ac:dyDescent="0.25">
      <c r="A38" s="4"/>
      <c r="B38" s="5"/>
      <c r="C38" s="238" t="s">
        <v>55</v>
      </c>
      <c r="D38" s="376">
        <f>IFERROR(Data!L60/Data!$L$42,0)</f>
        <v>0.61643072929533682</v>
      </c>
      <c r="E38" s="385">
        <f>IFERROR(Data!M60/Data!$M$42,0)</f>
        <v>0.59538454795905582</v>
      </c>
      <c r="F38" s="399">
        <f>IFERROR((Data!M60-Data!L60)/Data!L60,0)</f>
        <v>-0.20944295502131247</v>
      </c>
      <c r="G38" s="359">
        <f>IFERROR(Data!M60-Data!L60,0)</f>
        <v>-129373.68605217704</v>
      </c>
      <c r="H38" s="392">
        <f>IFERROR(Data!N60/Data!$N$42,0)</f>
        <v>4.5027671709294677E-2</v>
      </c>
      <c r="I38" s="399">
        <f>IFERROR((Data!N60-Data!M60)/Data!M60,0)</f>
        <v>-0.94284063497372761</v>
      </c>
      <c r="J38" s="359">
        <f>IFERROR(Data!N60-Data!M60,0)</f>
        <v>-460417.37050824496</v>
      </c>
      <c r="K38" s="385">
        <f>IFERROR(Data!O60/Data!$O$42,0)</f>
        <v>4.374493838775223E-2</v>
      </c>
      <c r="L38" s="399">
        <f>IFERROR((Data!O60-Data!N60)/Data!N60,0)</f>
        <v>7.698733352630302E-2</v>
      </c>
      <c r="M38" s="359">
        <f>IFERROR(Data!O60-Data!N60,0)</f>
        <v>2148.9191801469133</v>
      </c>
      <c r="N38" s="385">
        <f>IFERROR(Data!P60/Data!$P$42,0)</f>
        <v>4.6574327241668483E-2</v>
      </c>
      <c r="O38" s="399">
        <f>IFERROR((Data!P60-Data!O60)/Data!O60,0)</f>
        <v>0.10269734098045116</v>
      </c>
      <c r="P38" s="359">
        <f>IFERROR(Data!P60-Data!O60,0)</f>
        <v>3087.2414663471573</v>
      </c>
      <c r="Q38" s="385">
        <f>IFERROR(Data!Q60/Data!$Q$42,0)</f>
        <v>3.8664563132409048E-2</v>
      </c>
      <c r="R38" s="399">
        <f>IFERROR((Data!Q60-Data!P60)/Data!P60,0)</f>
        <v>-0.2449219809680549</v>
      </c>
      <c r="S38" s="359">
        <f>IFERROR(Data!Q60-Data!P60,0)</f>
        <v>-8118.8681868083513</v>
      </c>
      <c r="T38" s="385">
        <f>IFERROR(Data!R60/Data!$R$42,0)</f>
        <v>3.6844695446018247E-2</v>
      </c>
      <c r="U38" s="399">
        <f>IFERROR((Data!R60-Data!Q60)/Data!Q60,0)</f>
        <v>9.4655956859779431E-3</v>
      </c>
      <c r="V38" s="359">
        <f>IFERROR(Data!R60-Data!Q60,0)</f>
        <v>236.92315368663185</v>
      </c>
    </row>
    <row r="39" spans="1:25" ht="15.75" x14ac:dyDescent="0.25">
      <c r="A39" s="4"/>
      <c r="B39" s="5"/>
      <c r="C39" s="238" t="s">
        <v>56</v>
      </c>
      <c r="D39" s="376">
        <f>IFERROR(Data!L61/Data!$L$42,0)</f>
        <v>0.14850510848043488</v>
      </c>
      <c r="E39" s="385">
        <f>IFERROR(Data!M61/Data!$M$42,0)</f>
        <v>0.15859577491058863</v>
      </c>
      <c r="F39" s="399">
        <f>IFERROR((Data!M61-Data!L61)/Data!L61,0)</f>
        <v>-0.12588181718353456</v>
      </c>
      <c r="G39" s="359">
        <f>IFERROR(Data!M61-Data!L61,0)</f>
        <v>-18732.697150304273</v>
      </c>
      <c r="H39" s="392">
        <f>IFERROR(Data!N61/Data!$N$42,0)</f>
        <v>0.58732095341267343</v>
      </c>
      <c r="I39" s="399">
        <f>IFERROR((Data!N61-Data!M61)/Data!M61,0)</f>
        <v>1.7989126543177623</v>
      </c>
      <c r="J39" s="359">
        <f>IFERROR(Data!N61-Data!M61,0)</f>
        <v>234000.9062795518</v>
      </c>
      <c r="K39" s="385">
        <f>IFERROR(Data!O61/Data!$O$42,0)</f>
        <v>0.58750975951583106</v>
      </c>
      <c r="L39" s="399">
        <f>IFERROR((Data!O61-Data!N61)/Data!N61,0)</f>
        <v>0.10892421662335258</v>
      </c>
      <c r="M39" s="359">
        <f>IFERROR(Data!O61-Data!N61,0)</f>
        <v>39657.127487836638</v>
      </c>
      <c r="N39" s="385">
        <f>IFERROR(Data!P61/Data!$P$42,0)</f>
        <v>0.59765254391710076</v>
      </c>
      <c r="O39" s="399">
        <f>IFERROR((Data!P61-Data!O61)/Data!O61,0)</f>
        <v>5.358901347819333E-2</v>
      </c>
      <c r="P39" s="359">
        <f>IFERROR(Data!P61-Data!O61,0)</f>
        <v>21635.873726819409</v>
      </c>
      <c r="Q39" s="385">
        <f>IFERROR(Data!Q61/Data!$Q$42,0)</f>
        <v>0.63314321351142067</v>
      </c>
      <c r="R39" s="399">
        <f>IFERROR((Data!Q61-Data!P61)/Data!P61,0)</f>
        <v>-3.6440596031825069E-2</v>
      </c>
      <c r="S39" s="359">
        <f>IFERROR(Data!Q61-Data!P61,0)</f>
        <v>-15500.845265061653</v>
      </c>
      <c r="T39" s="385">
        <f>IFERROR(Data!R61/Data!$R$42,0)</f>
        <v>0.63237979631139229</v>
      </c>
      <c r="U39" s="399">
        <f>IFERROR((Data!R61-Data!Q61)/Data!Q61,0)</f>
        <v>5.8048774925926749E-2</v>
      </c>
      <c r="V39" s="359">
        <f>IFERROR(Data!R61-Data!Q61,0)</f>
        <v>23792.575836106087</v>
      </c>
    </row>
    <row r="40" spans="1:25" ht="16.5" thickBot="1" x14ac:dyDescent="0.3">
      <c r="A40" s="4"/>
      <c r="B40" s="5"/>
      <c r="C40" s="243" t="s">
        <v>25</v>
      </c>
      <c r="D40" s="377">
        <f>IFERROR(Data!L62/Data!$L$42,0)</f>
        <v>2.9081592223777701E-2</v>
      </c>
      <c r="E40" s="386">
        <f>IFERROR(Data!M62/Data!$M$42,0)</f>
        <v>3.5525547348540833E-2</v>
      </c>
      <c r="F40" s="400">
        <f>IFERROR((Data!M62-Data!L62)/Data!L62,0)</f>
        <v>-1.3231695308505486E-4</v>
      </c>
      <c r="G40" s="360">
        <f>IFERROR(Data!M62-Data!L62,0)</f>
        <v>-3.8559339602761611</v>
      </c>
      <c r="H40" s="393">
        <f>IFERROR(Data!N62/Data!$N$42,0)</f>
        <v>5.2874605284387324E-2</v>
      </c>
      <c r="I40" s="400">
        <f>IFERROR((Data!N62-Data!M62)/Data!M62,0)</f>
        <v>0.12489457990762221</v>
      </c>
      <c r="J40" s="360">
        <f>IFERROR(Data!N62-Data!M62,0)</f>
        <v>3639.1521947870606</v>
      </c>
      <c r="K40" s="386">
        <f>IFERROR(Data!O62/Data!$O$42,0)</f>
        <v>5.0611757973706283E-2</v>
      </c>
      <c r="L40" s="400">
        <f>IFERROR((Data!O62-Data!N62)/Data!N62,0)</f>
        <v>6.1125036857296165E-2</v>
      </c>
      <c r="M40" s="360">
        <f>IFERROR(Data!O62-Data!N62,0)</f>
        <v>2003.4918747531119</v>
      </c>
      <c r="N40" s="386">
        <f>IFERROR(Data!P62/Data!$P$42,0)</f>
        <v>3.6996352346302504E-2</v>
      </c>
      <c r="O40" s="400">
        <f>IFERROR((Data!P62-Data!O62)/Data!O62,0)</f>
        <v>-0.24291432202736302</v>
      </c>
      <c r="P40" s="360">
        <f>IFERROR(Data!P62-Data!O62,0)</f>
        <v>-8448.6658599823932</v>
      </c>
      <c r="Q40" s="386">
        <f>IFERROR(Data!Q62/Data!$Q$42,0)</f>
        <v>6.4522063105077049E-2</v>
      </c>
      <c r="R40" s="400">
        <f>IFERROR((Data!Q62-Data!P62)/Data!P62,0)</f>
        <v>0.58626100909532475</v>
      </c>
      <c r="S40" s="360">
        <f>IFERROR(Data!Q62-Data!P62,0)</f>
        <v>15437.28972139948</v>
      </c>
      <c r="T40" s="386">
        <f>IFERROR(Data!R62/Data!$R$42,0)</f>
        <v>4.1948479810906346E-2</v>
      </c>
      <c r="U40" s="400">
        <f>IFERROR((Data!R62-Data!Q62)/Data!Q62,0)</f>
        <v>-0.31128801644984744</v>
      </c>
      <c r="V40" s="360">
        <f>IFERROR(Data!R62-Data!Q62,0)</f>
        <v>-13002.207574393673</v>
      </c>
    </row>
    <row r="41" spans="1:25" ht="17.25" thickTop="1" thickBot="1" x14ac:dyDescent="0.3">
      <c r="A41" s="4"/>
      <c r="B41" s="5"/>
      <c r="C41" s="270" t="s">
        <v>57</v>
      </c>
      <c r="D41" s="335">
        <f>IFERROR(Data!L63/Data!$L$42,0)</f>
        <v>0.82013342593700367</v>
      </c>
      <c r="E41" s="338">
        <f>IFERROR(Data!M63/Data!$M$42,0)</f>
        <v>0.81520304462466586</v>
      </c>
      <c r="F41" s="337">
        <f>IFERROR((Data!M63-Data!L63)/Data!L63,0)</f>
        <v>-0.18641821891157839</v>
      </c>
      <c r="G41" s="252">
        <f>IFERROR(Data!M63-Data!L63,0)</f>
        <v>-153203.53348716884</v>
      </c>
      <c r="H41" s="394">
        <f>IFERROR(Data!N63/Data!$N$42,0)</f>
        <v>0.71105101275126714</v>
      </c>
      <c r="I41" s="337">
        <f>IFERROR((Data!N63-Data!M63)/Data!M63,0)</f>
        <v>-0.34076473691982601</v>
      </c>
      <c r="J41" s="252">
        <f>IFERROR(Data!N63-Data!M63,0)</f>
        <v>-227843.31409406394</v>
      </c>
      <c r="K41" s="338">
        <f>IFERROR(Data!O63/Data!$O$42,0)</f>
        <v>0.70631980175453057</v>
      </c>
      <c r="L41" s="337">
        <f>IFERROR((Data!O63-Data!N63)/Data!N63,0)</f>
        <v>0.10119162570142073</v>
      </c>
      <c r="M41" s="252">
        <f>IFERROR(Data!O63-Data!N63,0)</f>
        <v>44603.264485049585</v>
      </c>
      <c r="N41" s="338">
        <f>IFERROR(Data!P63/Data!$P$42,0)</f>
        <v>0.70496569642311468</v>
      </c>
      <c r="O41" s="337">
        <f>IFERROR((Data!P63-Data!O63)/Data!O63,0)</f>
        <v>3.3722928056186693E-2</v>
      </c>
      <c r="P41" s="252">
        <f>IFERROR(Data!P63-Data!O63,0)</f>
        <v>16368.551475882588</v>
      </c>
      <c r="Q41" s="338">
        <f>IFERROR(Data!Q63/Data!$Q$42,0)</f>
        <v>0.76029881721355219</v>
      </c>
      <c r="R41" s="337">
        <f>IFERROR((Data!Q63-Data!P63)/Data!P63,0)</f>
        <v>-1.9061814945972384E-2</v>
      </c>
      <c r="S41" s="252">
        <f>IFERROR(Data!Q63-Data!P63,0)</f>
        <v>-9564.3039771877811</v>
      </c>
      <c r="T41" s="338">
        <f>IFERROR(Data!R63/Data!$R$42,0)</f>
        <v>0.73361048914455773</v>
      </c>
      <c r="U41" s="337">
        <f>IFERROR((Data!R63-Data!Q63)/Data!Q63,0)</f>
        <v>2.2141157320462946E-2</v>
      </c>
      <c r="V41" s="252">
        <f>IFERROR(Data!R63-Data!Q63,0)</f>
        <v>10897.605446275964</v>
      </c>
    </row>
    <row r="42" spans="1:25" ht="16.5" thickBot="1" x14ac:dyDescent="0.3">
      <c r="A42" s="4"/>
      <c r="B42" s="3"/>
      <c r="C42" s="293"/>
      <c r="D42" s="381"/>
      <c r="E42" s="389"/>
      <c r="F42" s="381"/>
      <c r="G42" s="363"/>
      <c r="H42" s="381"/>
      <c r="I42" s="381"/>
      <c r="J42" s="295"/>
      <c r="K42" s="381"/>
      <c r="L42" s="381"/>
      <c r="M42" s="295"/>
      <c r="N42" s="381"/>
      <c r="O42" s="381"/>
      <c r="P42" s="295"/>
      <c r="Q42" s="381"/>
      <c r="R42" s="381"/>
      <c r="S42" s="295"/>
      <c r="T42" s="381"/>
      <c r="U42" s="381"/>
      <c r="V42" s="363"/>
    </row>
    <row r="43" spans="1:25" ht="16.5" thickBot="1" x14ac:dyDescent="0.3">
      <c r="A43" s="4"/>
      <c r="B43" s="5"/>
      <c r="C43" s="296" t="s">
        <v>58</v>
      </c>
      <c r="D43" s="382">
        <f>IFERROR(Data!L65/Data!$L$42,0)</f>
        <v>1</v>
      </c>
      <c r="E43" s="390">
        <f>IFERROR(Data!M65/Data!$M$42,0)</f>
        <v>1</v>
      </c>
      <c r="F43" s="402">
        <f>IFERROR((Data!M65-Data!L65)/Data!L65,0)</f>
        <v>-0.18149764306733127</v>
      </c>
      <c r="G43" s="364">
        <f>IFERROR(Data!M65-Data!L65,0)</f>
        <v>-181872.44474768965</v>
      </c>
      <c r="H43" s="396">
        <f>IFERROR(Data!N65/Data!$N$42,0)</f>
        <v>1</v>
      </c>
      <c r="I43" s="402">
        <f>IFERROR((Data!N65-Data!M65)/Data!M65,0)</f>
        <v>-0.24420247781168397</v>
      </c>
      <c r="J43" s="364">
        <f>IFERROR(Data!N65-Data!M65,0)</f>
        <v>-200293.06644849048</v>
      </c>
      <c r="K43" s="390">
        <f>IFERROR(Data!O65/Data!$O$42,0)</f>
        <v>1</v>
      </c>
      <c r="L43" s="402">
        <f>IFERROR((Data!O65-Data!N65)/Data!N65,0)</f>
        <v>0.10856784524969186</v>
      </c>
      <c r="M43" s="364">
        <f>IFERROR(Data!O65-Data!N65,0)</f>
        <v>67301.15718278382</v>
      </c>
      <c r="N43" s="390">
        <f>IFERROR(Data!P65/Data!$P$42,0)</f>
        <v>1</v>
      </c>
      <c r="O43" s="402">
        <f>IFERROR((Data!P65-Data!O65)/Data!O65,0)</f>
        <v>3.5708513645939466E-2</v>
      </c>
      <c r="P43" s="364">
        <f>IFERROR(Data!P65-Data!O65,0)</f>
        <v>24538.915424734587</v>
      </c>
      <c r="Q43" s="390">
        <f>IFERROR(Data!Q65/Data!$Q$42,0)</f>
        <v>1</v>
      </c>
      <c r="R43" s="402">
        <f>IFERROR((Data!Q65-Data!P65)/Data!P65,0)</f>
        <v>-9.0452654774546559E-2</v>
      </c>
      <c r="S43" s="364">
        <f>IFERROR(Data!Q65-Data!P65,0)</f>
        <v>-64378.737346675596</v>
      </c>
      <c r="T43" s="390">
        <f>IFERROR(Data!R65/Data!$R$42,0)</f>
        <v>1</v>
      </c>
      <c r="U43" s="402">
        <f>IFERROR((Data!R65-Data!Q65)/Data!Q65,0)</f>
        <v>5.9326065310532479E-2</v>
      </c>
      <c r="V43" s="364">
        <f>IFERROR(Data!R65-Data!Q65,0)</f>
        <v>38405.373485268443</v>
      </c>
    </row>
    <row r="2020" spans="8959:8959" x14ac:dyDescent="0.25">
      <c r="MFO2020" s="201" t="s">
        <v>133</v>
      </c>
    </row>
  </sheetData>
  <mergeCells count="6">
    <mergeCell ref="E4:G4"/>
    <mergeCell ref="H4:J4"/>
    <mergeCell ref="N4:P4"/>
    <mergeCell ref="Q4:S4"/>
    <mergeCell ref="T4:V4"/>
    <mergeCell ref="K4:M4"/>
  </mergeCells>
  <pageMargins left="0.70866141732283472" right="0.70866141732283472" top="0.74803149606299213" bottom="0.74803149606299213" header="0.31496062992125984" footer="0.31496062992125984"/>
  <pageSetup scale="4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603A22"/>
    <pageSetUpPr fitToPage="1"/>
  </sheetPr>
  <dimension ref="MFM2020"/>
  <sheetViews>
    <sheetView showGridLines="0" topLeftCell="T83" zoomScale="85" zoomScaleNormal="85" workbookViewId="0">
      <selection activeCell="AE101" sqref="AE101"/>
    </sheetView>
  </sheetViews>
  <sheetFormatPr baseColWidth="10" defaultColWidth="10.85546875" defaultRowHeight="15" x14ac:dyDescent="0.25"/>
  <sheetData>
    <row r="2020" spans="8957:8957" x14ac:dyDescent="0.25">
      <c r="MFM2020" s="201" t="s">
        <v>133</v>
      </c>
    </row>
  </sheetData>
  <pageMargins left="0.7" right="0.7" top="0.75" bottom="0.75" header="0.3" footer="0.3"/>
  <pageSetup scale="2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9</vt:i4>
      </vt:variant>
    </vt:vector>
  </HeadingPairs>
  <TitlesOfParts>
    <vt:vector size="18" baseType="lpstr">
      <vt:lpstr>Dashboard</vt:lpstr>
      <vt:lpstr>Data</vt:lpstr>
      <vt:lpstr>Flujo de Caja</vt:lpstr>
      <vt:lpstr>Resumen Ejecutivo</vt:lpstr>
      <vt:lpstr>EIR</vt:lpstr>
      <vt:lpstr>ESF</vt:lpstr>
      <vt:lpstr>EIR Comparativo</vt:lpstr>
      <vt:lpstr>ESF Comparativo</vt:lpstr>
      <vt:lpstr>Gráficas</vt:lpstr>
      <vt:lpstr>Dashboard!Área_de_impresión</vt:lpstr>
      <vt:lpstr>Data!Área_de_impresión</vt:lpstr>
      <vt:lpstr>EIR!Área_de_impresión</vt:lpstr>
      <vt:lpstr>'EIR Comparativo'!Área_de_impresión</vt:lpstr>
      <vt:lpstr>ESF!Área_de_impresión</vt:lpstr>
      <vt:lpstr>'ESF Comparativo'!Área_de_impresión</vt:lpstr>
      <vt:lpstr>'Flujo de Caja'!Área_de_impresión</vt:lpstr>
      <vt:lpstr>Gráficas!Área_de_impresión</vt:lpstr>
      <vt:lpstr>'Resumen Ejecutivo'!Área_de_impresión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Modelo AF</dc:title>
  <dc:creator>Juan Pablo Mejia Calle</dc:creator>
  <cp:keywords>Analisis Financiero</cp:keywords>
  <cp:lastModifiedBy>Tatiana Callejas Ramirez</cp:lastModifiedBy>
  <cp:lastPrinted>2020-05-14T02:33:34Z</cp:lastPrinted>
  <dcterms:created xsi:type="dcterms:W3CDTF">2018-05-28T15:25:02Z</dcterms:created>
  <dcterms:modified xsi:type="dcterms:W3CDTF">2022-04-03T17:58:40Z</dcterms:modified>
</cp:coreProperties>
</file>